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ign-ups" sheetId="2" state="visible" r:id="rId2"/>
    <sheet xmlns:r="http://schemas.openxmlformats.org/officeDocument/2006/relationships" name="Roster" sheetId="3" state="visible" r:id="rId3"/>
    <sheet xmlns:r="http://schemas.openxmlformats.org/officeDocument/2006/relationships" name="Sign-in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Lists" sheetId="6" state="visible" r:id="rId6"/>
  </sheets>
  <definedNames>
    <definedName name="_xlnm.Print_Titles" localSheetId="3">'Sign-in'!$5:$5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  <font>
      <name val="Arial"/>
      <color rgb="00231A2E"/>
      <sz val="11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0" fontId="10" fillId="4" borderId="1" pivotButton="0" quotePrefix="0" xfId="0"/>
    <xf numFmtId="0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/>
    </xf>
    <xf numFmtId="0" fontId="6" fillId="4" borderId="1" pivotButton="0" quotePrefix="0" xfId="0"/>
    <xf numFmtId="0" fontId="12" fillId="0" borderId="0" pivotButton="0" quotePrefix="0" xfId="0"/>
    <xf numFmtId="0" fontId="12" fillId="4" borderId="1" applyAlignment="1" pivotButton="0" quotePrefix="0" xfId="0">
      <alignment horizontal="center"/>
    </xf>
    <xf numFmtId="0" fontId="12" fillId="4" borderId="1" pivotButton="0" quotePrefix="0" xfId="0"/>
    <xf numFmtId="0" fontId="12" fillId="0" borderId="1" pivotButton="0" quotePrefix="0" xfId="0"/>
    <xf numFmtId="0" fontId="5" fillId="0" borderId="0" pivotButton="0" quotePrefix="0" xfId="0"/>
    <xf numFmtId="0" fontId="5" fillId="3" borderId="1" applyAlignment="1" pivotButton="0" quotePrefix="0" xfId="0">
      <alignment horizontal="center"/>
    </xf>
    <xf numFmtId="164" fontId="5" fillId="3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9 are EXAMPLE data: clear A2 to AB9 first. The export may include the six payment columns or not. Both work.</t>
      </text>
    </comment>
    <comment ref="Z1" authorId="0" shapeId="0">
      <text>
        <t>Yellow columns are yours. Only needed if you took the fee another way (cash or check): type Yes. If your form has a Payment block, its Payment status column is used too.</t>
      </text>
    </comment>
    <comment ref="AD1" authorId="0" shapeId="0">
      <text>
        <t>Grey columns are worked out for you.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7" authorId="0" shapeId="0">
      <text>
        <t>How many students you can take. No default: it depends on your room and instructors. The form's response limit can close sign-ups at the same number.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Class roster and sign-in sheet</t>
        </is>
      </c>
    </row>
    <row r="3">
      <c r="B3" s="2" t="inlineStr">
        <is>
          <t>Keep a clean A to Z roster for one class date and print a sign-in sheet.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your sign-ups</t>
        </is>
      </c>
      <c r="D6" s="6" t="inlineStr">
        <is>
          <t>In HornetForms, open the form's Responses page and download the CSV. Already sending answers to a Google Sheet? Open that Sheet and use File, Import, Upload this file, then pick "Insert new sheet(s)". Use one form per class date.</t>
        </is>
      </c>
    </row>
    <row r="7" ht="44" customHeight="1">
      <c r="B7" s="4" t="n">
        <v>2</v>
      </c>
      <c r="C7" s="5" t="inlineStr">
        <is>
          <t>Paste them on Sign-ups</t>
        </is>
      </c>
      <c r="D7" s="6" t="inlineStr">
        <is>
          <t>First clear the example: select A2 to AB9 on Sign-ups and press Delete. Then click A1 and paste your CSV, headers included.</t>
        </is>
      </c>
    </row>
    <row r="8" ht="44" customHeight="1">
      <c r="B8" s="4" t="n">
        <v>3</v>
      </c>
      <c r="C8" s="5" t="inlineStr">
        <is>
          <t>Fill in the class</t>
        </is>
      </c>
      <c r="D8" s="6" t="inlineStr">
        <is>
          <t>On Summary, type the class name, the date and your seats. Seats left updates as people sign up.</t>
        </is>
      </c>
    </row>
    <row r="9" ht="44" customHeight="1">
      <c r="B9" s="4" t="n">
        <v>4</v>
      </c>
      <c r="C9" s="5" t="inlineStr">
        <is>
          <t>Check the Roster</t>
        </is>
      </c>
      <c r="D9" s="6" t="inlineStr">
        <is>
          <t>Roster lists everyone A to Z with course, contact details, student manual and whether they have paid.</t>
        </is>
      </c>
    </row>
    <row r="10" ht="44" customHeight="1">
      <c r="B10" s="4" t="n">
        <v>5</v>
      </c>
      <c r="C10" s="5" t="inlineStr">
        <is>
          <t>Print the Sign-in tab</t>
        </is>
      </c>
      <c r="D10" s="6" t="inlineStr">
        <is>
          <t>Sign-in lists the names with a blank Initials column. Print it on the day and have people initial next to their name.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Keep Note to class matters, like a parent dropping a student off or a question about which course to take.</t>
        </is>
      </c>
    </row>
    <row r="19" ht="28" customHeight="1">
      <c r="C19" s="12" t="inlineStr">
        <is>
          <t>This file holds names, emails and phone numbers. Keep it where only the right people can open it.</t>
        </is>
      </c>
    </row>
    <row r="20" ht="28" customHeight="1">
      <c r="C20" s="12" t="inlineStr">
        <is>
          <t>Paid reads the Payment status column when your form has a Payment block. Otherwise type Yes under Paid by hand.</t>
        </is>
      </c>
    </row>
    <row r="21" ht="34" customHeight="1">
      <c r="C21" s="12" t="inlineStr">
        <is>
          <t>Need a sign-in sheet with blank lines for walk-ins? Use the printable PDF or Word sign-in sheet that comes with this file.</t>
        </is>
      </c>
    </row>
    <row r="22" ht="28" customHeight="1">
      <c r="C22" s="12" t="inlineStr">
        <is>
          <t>The sheet finds columns by their header names. Renamed a question? Update its name on the Lists tab.</t>
        </is>
      </c>
    </row>
    <row r="23" ht="34" customHeight="1">
      <c r="C23" s="12" t="inlineStr">
        <is>
          <t>Do not sort or delete rows on Sign-ups: your yellow cells line up with the pasted rows. Paste a fresh export over the old one instead.</t>
        </is>
      </c>
    </row>
    <row r="24" ht="28" customHeight="1">
      <c r="C24" s="12" t="inlineStr">
        <is>
          <t>There is room for 300 sign-ups.</t>
        </is>
      </c>
    </row>
    <row r="26">
      <c r="B26" s="7" t="inlineStr">
        <is>
          <t>Example data</t>
        </is>
      </c>
    </row>
    <row r="27" ht="32" customHeight="1">
      <c r="C27" s="13" t="inlineStr">
        <is>
          <t>Rows 2 to 9 on Sign-ups are EXAMPLE data with invented people, so you can see the Roster and Sign-in tabs work. Clear them before you add your own.</t>
        </is>
      </c>
    </row>
    <row r="29">
      <c r="C29" s="14" t="inlineStr">
        <is>
          <t>Made by HornetForms, hornetforms.com</t>
        </is>
      </c>
    </row>
  </sheetData>
  <mergeCells count="8">
    <mergeCell ref="C20:D20"/>
    <mergeCell ref="C21:D21"/>
    <mergeCell ref="C24:D24"/>
    <mergeCell ref="C27:D27"/>
    <mergeCell ref="C19:D19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O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2" customWidth="1" min="25" max="25"/>
    <col width="12" customWidth="1" min="26" max="26"/>
    <col width="14" customWidth="1" min="27" max="27"/>
    <col width="30" customWidth="1" min="28" max="28"/>
    <col width="2" customWidth="1" min="29" max="29"/>
    <col width="14" customWidth="1" min="30" max="30"/>
    <col width="24" customWidth="1" min="31" max="31"/>
    <col width="24" customWidth="1" min="32" max="32"/>
    <col width="14" customWidth="1" min="33" max="33"/>
    <col width="2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Which course would you like?</t>
        </is>
      </c>
      <c r="E1" s="3" t="inlineStr">
        <is>
          <t>Full name as it should appear on your card</t>
        </is>
      </c>
      <c r="F1" s="3" t="inlineStr">
        <is>
          <t>Email</t>
        </is>
      </c>
      <c r="G1" s="3" t="inlineStr">
        <is>
          <t>Phone</t>
        </is>
      </c>
      <c r="H1" s="3" t="inlineStr">
        <is>
          <t>Is this your first course or a renewal?</t>
        </is>
      </c>
      <c r="I1" s="3" t="inlineStr">
        <is>
          <t>Are you under 18?</t>
        </is>
      </c>
      <c r="J1" s="3" t="inlineStr">
        <is>
          <t>Parent or guardian name</t>
        </is>
      </c>
      <c r="K1" s="3" t="inlineStr">
        <is>
          <t>Parent or guardian phone</t>
        </is>
      </c>
      <c r="L1" s="3" t="inlineStr">
        <is>
          <t>source</t>
        </is>
      </c>
      <c r="M1" s="3" t="inlineStr">
        <is>
          <t>Do you need a student manual?</t>
        </is>
      </c>
      <c r="N1" s="3" t="inlineStr">
        <is>
          <t>Class policy</t>
        </is>
      </c>
      <c r="O1" s="3" t="inlineStr">
        <is>
          <t>class_fee</t>
        </is>
      </c>
      <c r="P1" s="3" t="inlineStr">
        <is>
          <t>Form version</t>
        </is>
      </c>
      <c r="Q1" s="3" t="n"/>
      <c r="R1" s="3" t="n"/>
      <c r="S1" s="3" t="n"/>
      <c r="T1" s="3" t="n"/>
      <c r="U1" s="3" t="n"/>
      <c r="V1" s="3" t="n"/>
      <c r="W1" s="3" t="n"/>
      <c r="X1" s="3" t="n"/>
      <c r="Y1" s="15" t="n"/>
      <c r="Z1" s="16" t="inlineStr">
        <is>
          <t>Paid by hand</t>
        </is>
      </c>
      <c r="AA1" s="16" t="inlineStr">
        <is>
          <t>Manual handed out</t>
        </is>
      </c>
      <c r="AB1" s="16" t="inlineStr">
        <is>
          <t>Note</t>
        </is>
      </c>
      <c r="AC1" s="15" t="n"/>
      <c r="AD1" s="17" t="inlineStr">
        <is>
          <t>Has a sign-up (worked out)</t>
        </is>
      </c>
      <c r="AE1" s="17" t="inlineStr">
        <is>
          <t>Name on card (worked out)</t>
        </is>
      </c>
      <c r="AF1" s="17" t="inlineStr">
        <is>
          <t>Course (worked out)</t>
        </is>
      </c>
      <c r="AG1" s="17" t="inlineStr">
        <is>
          <t>First course or renewal (worked out)</t>
        </is>
      </c>
      <c r="AH1" s="17" t="inlineStr">
        <is>
          <t>Email (worked out)</t>
        </is>
      </c>
      <c r="AI1" s="17" t="inlineStr">
        <is>
          <t>Phone (worked out)</t>
        </is>
      </c>
      <c r="AJ1" s="17" t="inlineStr">
        <is>
          <t>Student manual (worked out)</t>
        </is>
      </c>
      <c r="AK1" s="17" t="inlineStr">
        <is>
          <t>Parent or guardian phone (worked out)</t>
        </is>
      </c>
      <c r="AL1" s="17" t="inlineStr">
        <is>
          <t>Fee on the form (worked out)</t>
        </is>
      </c>
      <c r="AM1" s="17" t="inlineStr">
        <is>
          <t>Payment status (worked out)</t>
        </is>
      </c>
      <c r="AN1" s="17" t="inlineStr">
        <is>
          <t>Paid (worked out)</t>
        </is>
      </c>
      <c r="AO1" s="17" t="inlineStr">
        <is>
          <t>A to Z order (worked out)</t>
        </is>
      </c>
    </row>
    <row r="2">
      <c r="A2" s="18" t="inlineStr">
        <is>
          <t>EXAMPLE-01 (delete me)</t>
        </is>
      </c>
      <c r="B2" s="18" t="inlineStr">
        <is>
          <t>2026-10-03T09:10:00.000Z</t>
        </is>
      </c>
      <c r="C2" s="18" t="inlineStr">
        <is>
          <t>2026-10-03T09:04:00.000Z</t>
        </is>
      </c>
      <c r="D2" s="18" t="inlineStr">
        <is>
          <t>CPR and AED</t>
        </is>
      </c>
      <c r="E2" s="18" t="inlineStr">
        <is>
          <t>Tara Wilson</t>
        </is>
      </c>
      <c r="F2" s="18" t="inlineStr">
        <is>
          <t>tara@example.com</t>
        </is>
      </c>
      <c r="G2" s="18" t="inlineStr">
        <is>
          <t>555-0300</t>
        </is>
      </c>
      <c r="H2" s="18" t="inlineStr">
        <is>
          <t>First course</t>
        </is>
      </c>
      <c r="I2" s="18" t="inlineStr"/>
      <c r="J2" s="18" t="inlineStr"/>
      <c r="K2" s="18" t="inlineStr"/>
      <c r="L2" s="18" t="inlineStr">
        <is>
          <t>flyer</t>
        </is>
      </c>
      <c r="M2" s="18" t="inlineStr">
        <is>
          <t>Yes, please add one</t>
        </is>
      </c>
      <c r="N2" s="18" t="inlineStr">
        <is>
          <t>I've read the class policy</t>
        </is>
      </c>
      <c r="O2" s="18" t="n">
        <v>0</v>
      </c>
      <c r="P2" s="18" t="n">
        <v>1</v>
      </c>
      <c r="Y2" s="19" t="n"/>
      <c r="Z2" s="20" t="inlineStr">
        <is>
          <t>Yes</t>
        </is>
      </c>
      <c r="AA2" s="20" t="inlineStr">
        <is>
          <t>Yes</t>
        </is>
      </c>
      <c r="AB2" s="20" t="inlineStr"/>
      <c r="AC2" s="19" t="n"/>
      <c r="AD2" s="21">
        <f>IF(AE2="",0,1)</f>
        <v/>
      </c>
      <c r="AE2" s="21">
        <f>IFERROR(TRIM(INDEX($A2:$X2,MATCH(Lists!$F$2,$A$1:$X$1,0))&amp;""),"")</f>
        <v/>
      </c>
      <c r="AF2" s="21">
        <f>IF(AE2="","",IFERROR(TRIM(INDEX($A2:$X2,MATCH(Lists!$F$3,$A$1:$X$1,0))&amp;""),""))</f>
        <v/>
      </c>
      <c r="AG2" s="21">
        <f>IF(AE2="","",IFERROR(TRIM(INDEX($A2:$X2,MATCH(Lists!$F$4,$A$1:$X$1,0))&amp;""),""))</f>
        <v/>
      </c>
      <c r="AH2" s="21">
        <f>IF(AE2="","",LOWER(IFERROR(TRIM(INDEX($A2:$X2,MATCH(Lists!$F$5,$A$1:$X$1,0))&amp;""),"")))</f>
        <v/>
      </c>
      <c r="AI2" s="21">
        <f>IF(AE2="","",IFERROR(TRIM(INDEX($A2:$X2,MATCH(Lists!$F$6,$A$1:$X$1,0))&amp;""),""))</f>
        <v/>
      </c>
      <c r="AJ2" s="21">
        <f>IF(AE2="","",IF(LEFT(IFERROR(TRIM(INDEX($A2:$X2,MATCH(Lists!$F$7,$A$1:$X$1,0))&amp;""),""),3)="Yes","Yes","No"))</f>
        <v/>
      </c>
      <c r="AK2" s="21">
        <f>IF(AE2="","",IFERROR(TRIM(INDEX($A2:$X2,MATCH(Lists!$F$8,$A$1:$X$1,0))&amp;""),""))</f>
        <v/>
      </c>
      <c r="AL2" s="21">
        <f>IF(AE2="","",IFERROR(IF(TRIM(INDEX($A2:$X2,MATCH(Lists!$F$9,$A$1:$X$1,0))&amp;"")="","",VALUE(TRIM(INDEX($A2:$X2,MATCH(Lists!$F$9,$A$1:$X$1,0))&amp;""))),""))</f>
        <v/>
      </c>
      <c r="AM2" s="21">
        <f>IF(AE2="","",IFERROR(TRIM(INDEX($A2:$X2,MATCH(Lists!$F$10,$A$1:$X$1,0))&amp;""),""))</f>
        <v/>
      </c>
      <c r="AN2" s="21">
        <f>IF(AE2="","",IF(OR(AM2="Paid",AM2="Partially refunded"),"Paid",IF(Z2="Yes","Paid (by hand)",IF(AM2&lt;&gt;"",AM2,"Unpaid"))))</f>
        <v/>
      </c>
      <c r="AO2" s="21">
        <f>IF(AD2=1,COUNTIFS($AE$2:$AE$301,"&lt;"&amp;AE2,$AD$2:$AD$301,1)+COUNTIF($AE$2:AE2,AE2),"")</f>
        <v/>
      </c>
    </row>
    <row r="3">
      <c r="A3" s="18" t="inlineStr">
        <is>
          <t>EXAMPLE-02 (delete me)</t>
        </is>
      </c>
      <c r="B3" s="18" t="inlineStr">
        <is>
          <t>2026-10-04T09:11:00.000Z</t>
        </is>
      </c>
      <c r="C3" s="18" t="inlineStr">
        <is>
          <t>2026-10-04T09:05:00.000Z</t>
        </is>
      </c>
      <c r="D3" s="18" t="inlineStr">
        <is>
          <t>CPR, AED and first aid</t>
        </is>
      </c>
      <c r="E3" s="18" t="inlineStr">
        <is>
          <t>Ali Hassan</t>
        </is>
      </c>
      <c r="F3" s="18" t="inlineStr">
        <is>
          <t>ali@example.com</t>
        </is>
      </c>
      <c r="G3" s="18" t="inlineStr">
        <is>
          <t>555-0301</t>
        </is>
      </c>
      <c r="H3" s="18" t="inlineStr">
        <is>
          <t>Renewal</t>
        </is>
      </c>
      <c r="I3" s="18" t="inlineStr"/>
      <c r="J3" s="18" t="inlineStr"/>
      <c r="K3" s="18" t="inlineStr"/>
      <c r="L3" s="18" t="inlineStr">
        <is>
          <t>flyer</t>
        </is>
      </c>
      <c r="M3" s="18" t="inlineStr">
        <is>
          <t>No, I have one</t>
        </is>
      </c>
      <c r="N3" s="18" t="inlineStr">
        <is>
          <t>I've read the class policy</t>
        </is>
      </c>
      <c r="O3" s="18" t="n">
        <v>0</v>
      </c>
      <c r="P3" s="18" t="n">
        <v>1</v>
      </c>
      <c r="Y3" s="19" t="n"/>
      <c r="Z3" s="20" t="inlineStr">
        <is>
          <t>Yes</t>
        </is>
      </c>
      <c r="AA3" s="20" t="inlineStr"/>
      <c r="AB3" s="20" t="inlineStr"/>
      <c r="AC3" s="19" t="n"/>
      <c r="AD3" s="21">
        <f>IF(AE3="",0,1)</f>
        <v/>
      </c>
      <c r="AE3" s="21">
        <f>IFERROR(TRIM(INDEX($A3:$X3,MATCH(Lists!$F$2,$A$1:$X$1,0))&amp;""),"")</f>
        <v/>
      </c>
      <c r="AF3" s="21">
        <f>IF(AE3="","",IFERROR(TRIM(INDEX($A3:$X3,MATCH(Lists!$F$3,$A$1:$X$1,0))&amp;""),""))</f>
        <v/>
      </c>
      <c r="AG3" s="21">
        <f>IF(AE3="","",IFERROR(TRIM(INDEX($A3:$X3,MATCH(Lists!$F$4,$A$1:$X$1,0))&amp;""),""))</f>
        <v/>
      </c>
      <c r="AH3" s="21">
        <f>IF(AE3="","",LOWER(IFERROR(TRIM(INDEX($A3:$X3,MATCH(Lists!$F$5,$A$1:$X$1,0))&amp;""),"")))</f>
        <v/>
      </c>
      <c r="AI3" s="21">
        <f>IF(AE3="","",IFERROR(TRIM(INDEX($A3:$X3,MATCH(Lists!$F$6,$A$1:$X$1,0))&amp;""),""))</f>
        <v/>
      </c>
      <c r="AJ3" s="21">
        <f>IF(AE3="","",IF(LEFT(IFERROR(TRIM(INDEX($A3:$X3,MATCH(Lists!$F$7,$A$1:$X$1,0))&amp;""),""),3)="Yes","Yes","No"))</f>
        <v/>
      </c>
      <c r="AK3" s="21">
        <f>IF(AE3="","",IFERROR(TRIM(INDEX($A3:$X3,MATCH(Lists!$F$8,$A$1:$X$1,0))&amp;""),""))</f>
        <v/>
      </c>
      <c r="AL3" s="21">
        <f>IF(AE3="","",IFERROR(IF(TRIM(INDEX($A3:$X3,MATCH(Lists!$F$9,$A$1:$X$1,0))&amp;"")="","",VALUE(TRIM(INDEX($A3:$X3,MATCH(Lists!$F$9,$A$1:$X$1,0))&amp;""))),""))</f>
        <v/>
      </c>
      <c r="AM3" s="21">
        <f>IF(AE3="","",IFERROR(TRIM(INDEX($A3:$X3,MATCH(Lists!$F$10,$A$1:$X$1,0))&amp;""),""))</f>
        <v/>
      </c>
      <c r="AN3" s="21">
        <f>IF(AE3="","",IF(OR(AM3="Paid",AM3="Partially refunded"),"Paid",IF(Z3="Yes","Paid (by hand)",IF(AM3&lt;&gt;"",AM3,"Unpaid"))))</f>
        <v/>
      </c>
      <c r="AO3" s="21">
        <f>IF(AD3=1,COUNTIFS($AE$2:$AE$301,"&lt;"&amp;AE3,$AD$2:$AD$301,1)+COUNTIF($AE$2:AE3,AE3),"")</f>
        <v/>
      </c>
    </row>
    <row r="4">
      <c r="A4" s="18" t="inlineStr">
        <is>
          <t>EXAMPLE-03 (delete me)</t>
        </is>
      </c>
      <c r="B4" s="18" t="inlineStr">
        <is>
          <t>2026-10-05T09:12:00.000Z</t>
        </is>
      </c>
      <c r="C4" s="18" t="inlineStr">
        <is>
          <t>2026-10-05T09:06:00.000Z</t>
        </is>
      </c>
      <c r="D4" s="18" t="inlineStr">
        <is>
          <t>CPR and AED</t>
        </is>
      </c>
      <c r="E4" s="18" t="inlineStr">
        <is>
          <t>Dana Brooks</t>
        </is>
      </c>
      <c r="F4" s="18" t="inlineStr">
        <is>
          <t>dana@example.com</t>
        </is>
      </c>
      <c r="G4" s="18" t="inlineStr">
        <is>
          <t>555-0302</t>
        </is>
      </c>
      <c r="H4" s="18" t="inlineStr">
        <is>
          <t>First course</t>
        </is>
      </c>
      <c r="I4" s="18" t="inlineStr"/>
      <c r="J4" s="18" t="inlineStr"/>
      <c r="K4" s="18" t="inlineStr"/>
      <c r="L4" s="18" t="inlineStr">
        <is>
          <t>flyer</t>
        </is>
      </c>
      <c r="M4" s="18" t="inlineStr">
        <is>
          <t>Yes, please add one</t>
        </is>
      </c>
      <c r="N4" s="18" t="inlineStr">
        <is>
          <t>I've read the class policy</t>
        </is>
      </c>
      <c r="O4" s="18" t="n">
        <v>0</v>
      </c>
      <c r="P4" s="18" t="n">
        <v>1</v>
      </c>
      <c r="Y4" s="19" t="n"/>
      <c r="Z4" s="20" t="inlineStr"/>
      <c r="AA4" s="20" t="inlineStr"/>
      <c r="AB4" s="20" t="inlineStr">
        <is>
          <t>Will pay at the door</t>
        </is>
      </c>
      <c r="AC4" s="19" t="n"/>
      <c r="AD4" s="21">
        <f>IF(AE4="",0,1)</f>
        <v/>
      </c>
      <c r="AE4" s="21">
        <f>IFERROR(TRIM(INDEX($A4:$X4,MATCH(Lists!$F$2,$A$1:$X$1,0))&amp;""),"")</f>
        <v/>
      </c>
      <c r="AF4" s="21">
        <f>IF(AE4="","",IFERROR(TRIM(INDEX($A4:$X4,MATCH(Lists!$F$3,$A$1:$X$1,0))&amp;""),""))</f>
        <v/>
      </c>
      <c r="AG4" s="21">
        <f>IF(AE4="","",IFERROR(TRIM(INDEX($A4:$X4,MATCH(Lists!$F$4,$A$1:$X$1,0))&amp;""),""))</f>
        <v/>
      </c>
      <c r="AH4" s="21">
        <f>IF(AE4="","",LOWER(IFERROR(TRIM(INDEX($A4:$X4,MATCH(Lists!$F$5,$A$1:$X$1,0))&amp;""),"")))</f>
        <v/>
      </c>
      <c r="AI4" s="21">
        <f>IF(AE4="","",IFERROR(TRIM(INDEX($A4:$X4,MATCH(Lists!$F$6,$A$1:$X$1,0))&amp;""),""))</f>
        <v/>
      </c>
      <c r="AJ4" s="21">
        <f>IF(AE4="","",IF(LEFT(IFERROR(TRIM(INDEX($A4:$X4,MATCH(Lists!$F$7,$A$1:$X$1,0))&amp;""),""),3)="Yes","Yes","No"))</f>
        <v/>
      </c>
      <c r="AK4" s="21">
        <f>IF(AE4="","",IFERROR(TRIM(INDEX($A4:$X4,MATCH(Lists!$F$8,$A$1:$X$1,0))&amp;""),""))</f>
        <v/>
      </c>
      <c r="AL4" s="21">
        <f>IF(AE4="","",IFERROR(IF(TRIM(INDEX($A4:$X4,MATCH(Lists!$F$9,$A$1:$X$1,0))&amp;"")="","",VALUE(TRIM(INDEX($A4:$X4,MATCH(Lists!$F$9,$A$1:$X$1,0))&amp;""))),""))</f>
        <v/>
      </c>
      <c r="AM4" s="21">
        <f>IF(AE4="","",IFERROR(TRIM(INDEX($A4:$X4,MATCH(Lists!$F$10,$A$1:$X$1,0))&amp;""),""))</f>
        <v/>
      </c>
      <c r="AN4" s="21">
        <f>IF(AE4="","",IF(OR(AM4="Paid",AM4="Partially refunded"),"Paid",IF(Z4="Yes","Paid (by hand)",IF(AM4&lt;&gt;"",AM4,"Unpaid"))))</f>
        <v/>
      </c>
      <c r="AO4" s="21">
        <f>IF(AD4=1,COUNTIFS($AE$2:$AE$301,"&lt;"&amp;AE4,$AD$2:$AD$301,1)+COUNTIF($AE$2:AE4,AE4),"")</f>
        <v/>
      </c>
    </row>
    <row r="5">
      <c r="A5" s="18" t="inlineStr">
        <is>
          <t>EXAMPLE-04 (delete me)</t>
        </is>
      </c>
      <c r="B5" s="18" t="inlineStr">
        <is>
          <t>2026-10-06T09:13:00.000Z</t>
        </is>
      </c>
      <c r="C5" s="18" t="inlineStr">
        <is>
          <t>2026-10-06T09:07:00.000Z</t>
        </is>
      </c>
      <c r="D5" s="18" t="inlineStr">
        <is>
          <t>Pediatric CPR and first aid</t>
        </is>
      </c>
      <c r="E5" s="18" t="inlineStr">
        <is>
          <t>Chen Li</t>
        </is>
      </c>
      <c r="F5" s="18" t="inlineStr">
        <is>
          <t>chen@example.com</t>
        </is>
      </c>
      <c r="G5" s="18" t="inlineStr">
        <is>
          <t>555-0303</t>
        </is>
      </c>
      <c r="H5" s="18" t="inlineStr">
        <is>
          <t>First course</t>
        </is>
      </c>
      <c r="I5" s="18" t="inlineStr"/>
      <c r="J5" s="18" t="inlineStr"/>
      <c r="K5" s="18" t="inlineStr"/>
      <c r="L5" s="18" t="inlineStr">
        <is>
          <t>flyer</t>
        </is>
      </c>
      <c r="M5" s="18" t="inlineStr">
        <is>
          <t>No, I have one</t>
        </is>
      </c>
      <c r="N5" s="18" t="inlineStr">
        <is>
          <t>I've read the class policy</t>
        </is>
      </c>
      <c r="O5" s="18" t="n">
        <v>0</v>
      </c>
      <c r="P5" s="18" t="n">
        <v>1</v>
      </c>
      <c r="Y5" s="19" t="n"/>
      <c r="Z5" s="20" t="inlineStr">
        <is>
          <t>Yes</t>
        </is>
      </c>
      <c r="AA5" s="20" t="inlineStr"/>
      <c r="AB5" s="20" t="inlineStr"/>
      <c r="AC5" s="19" t="n"/>
      <c r="AD5" s="21">
        <f>IF(AE5="",0,1)</f>
        <v/>
      </c>
      <c r="AE5" s="21">
        <f>IFERROR(TRIM(INDEX($A5:$X5,MATCH(Lists!$F$2,$A$1:$X$1,0))&amp;""),"")</f>
        <v/>
      </c>
      <c r="AF5" s="21">
        <f>IF(AE5="","",IFERROR(TRIM(INDEX($A5:$X5,MATCH(Lists!$F$3,$A$1:$X$1,0))&amp;""),""))</f>
        <v/>
      </c>
      <c r="AG5" s="21">
        <f>IF(AE5="","",IFERROR(TRIM(INDEX($A5:$X5,MATCH(Lists!$F$4,$A$1:$X$1,0))&amp;""),""))</f>
        <v/>
      </c>
      <c r="AH5" s="21">
        <f>IF(AE5="","",LOWER(IFERROR(TRIM(INDEX($A5:$X5,MATCH(Lists!$F$5,$A$1:$X$1,0))&amp;""),"")))</f>
        <v/>
      </c>
      <c r="AI5" s="21">
        <f>IF(AE5="","",IFERROR(TRIM(INDEX($A5:$X5,MATCH(Lists!$F$6,$A$1:$X$1,0))&amp;""),""))</f>
        <v/>
      </c>
      <c r="AJ5" s="21">
        <f>IF(AE5="","",IF(LEFT(IFERROR(TRIM(INDEX($A5:$X5,MATCH(Lists!$F$7,$A$1:$X$1,0))&amp;""),""),3)="Yes","Yes","No"))</f>
        <v/>
      </c>
      <c r="AK5" s="21">
        <f>IF(AE5="","",IFERROR(TRIM(INDEX($A5:$X5,MATCH(Lists!$F$8,$A$1:$X$1,0))&amp;""),""))</f>
        <v/>
      </c>
      <c r="AL5" s="21">
        <f>IF(AE5="","",IFERROR(IF(TRIM(INDEX($A5:$X5,MATCH(Lists!$F$9,$A$1:$X$1,0))&amp;"")="","",VALUE(TRIM(INDEX($A5:$X5,MATCH(Lists!$F$9,$A$1:$X$1,0))&amp;""))),""))</f>
        <v/>
      </c>
      <c r="AM5" s="21">
        <f>IF(AE5="","",IFERROR(TRIM(INDEX($A5:$X5,MATCH(Lists!$F$10,$A$1:$X$1,0))&amp;""),""))</f>
        <v/>
      </c>
      <c r="AN5" s="21">
        <f>IF(AE5="","",IF(OR(AM5="Paid",AM5="Partially refunded"),"Paid",IF(Z5="Yes","Paid (by hand)",IF(AM5&lt;&gt;"",AM5,"Unpaid"))))</f>
        <v/>
      </c>
      <c r="AO5" s="21">
        <f>IF(AD5=1,COUNTIFS($AE$2:$AE$301,"&lt;"&amp;AE5,$AD$2:$AD$301,1)+COUNTIF($AE$2:AE5,AE5),"")</f>
        <v/>
      </c>
    </row>
    <row r="6">
      <c r="A6" s="18" t="inlineStr">
        <is>
          <t>EXAMPLE-05 (delete me)</t>
        </is>
      </c>
      <c r="B6" s="18" t="inlineStr">
        <is>
          <t>2026-10-07T09:14:00.000Z</t>
        </is>
      </c>
      <c r="C6" s="18" t="inlineStr">
        <is>
          <t>2026-10-07T09:08:00.000Z</t>
        </is>
      </c>
      <c r="D6" s="18" t="inlineStr">
        <is>
          <t>CPR and AED</t>
        </is>
      </c>
      <c r="E6" s="18" t="inlineStr">
        <is>
          <t>Becca Stone</t>
        </is>
      </c>
      <c r="F6" s="18" t="inlineStr">
        <is>
          <t>becca@example.com</t>
        </is>
      </c>
      <c r="G6" s="18" t="inlineStr">
        <is>
          <t>555-0304</t>
        </is>
      </c>
      <c r="H6" s="18" t="inlineStr">
        <is>
          <t>First course</t>
        </is>
      </c>
      <c r="I6" s="18" t="inlineStr"/>
      <c r="J6" s="18" t="inlineStr">
        <is>
          <t>(parent)</t>
        </is>
      </c>
      <c r="K6" s="18" t="inlineStr">
        <is>
          <t>555-0140</t>
        </is>
      </c>
      <c r="L6" s="18" t="inlineStr">
        <is>
          <t>flyer</t>
        </is>
      </c>
      <c r="M6" s="18" t="inlineStr">
        <is>
          <t>No, I have one</t>
        </is>
      </c>
      <c r="N6" s="18" t="inlineStr">
        <is>
          <t>I've read the class policy</t>
        </is>
      </c>
      <c r="O6" s="18" t="n">
        <v>0</v>
      </c>
      <c r="P6" s="18" t="n">
        <v>1</v>
      </c>
      <c r="Y6" s="19" t="n"/>
      <c r="Z6" s="20" t="inlineStr">
        <is>
          <t>Yes</t>
        </is>
      </c>
      <c r="AA6" s="20" t="inlineStr"/>
      <c r="AB6" s="20" t="inlineStr">
        <is>
          <t>Parent will drop off</t>
        </is>
      </c>
      <c r="AC6" s="19" t="n"/>
      <c r="AD6" s="21">
        <f>IF(AE6="",0,1)</f>
        <v/>
      </c>
      <c r="AE6" s="21">
        <f>IFERROR(TRIM(INDEX($A6:$X6,MATCH(Lists!$F$2,$A$1:$X$1,0))&amp;""),"")</f>
        <v/>
      </c>
      <c r="AF6" s="21">
        <f>IF(AE6="","",IFERROR(TRIM(INDEX($A6:$X6,MATCH(Lists!$F$3,$A$1:$X$1,0))&amp;""),""))</f>
        <v/>
      </c>
      <c r="AG6" s="21">
        <f>IF(AE6="","",IFERROR(TRIM(INDEX($A6:$X6,MATCH(Lists!$F$4,$A$1:$X$1,0))&amp;""),""))</f>
        <v/>
      </c>
      <c r="AH6" s="21">
        <f>IF(AE6="","",LOWER(IFERROR(TRIM(INDEX($A6:$X6,MATCH(Lists!$F$5,$A$1:$X$1,0))&amp;""),"")))</f>
        <v/>
      </c>
      <c r="AI6" s="21">
        <f>IF(AE6="","",IFERROR(TRIM(INDEX($A6:$X6,MATCH(Lists!$F$6,$A$1:$X$1,0))&amp;""),""))</f>
        <v/>
      </c>
      <c r="AJ6" s="21">
        <f>IF(AE6="","",IF(LEFT(IFERROR(TRIM(INDEX($A6:$X6,MATCH(Lists!$F$7,$A$1:$X$1,0))&amp;""),""),3)="Yes","Yes","No"))</f>
        <v/>
      </c>
      <c r="AK6" s="21">
        <f>IF(AE6="","",IFERROR(TRIM(INDEX($A6:$X6,MATCH(Lists!$F$8,$A$1:$X$1,0))&amp;""),""))</f>
        <v/>
      </c>
      <c r="AL6" s="21">
        <f>IF(AE6="","",IFERROR(IF(TRIM(INDEX($A6:$X6,MATCH(Lists!$F$9,$A$1:$X$1,0))&amp;"")="","",VALUE(TRIM(INDEX($A6:$X6,MATCH(Lists!$F$9,$A$1:$X$1,0))&amp;""))),""))</f>
        <v/>
      </c>
      <c r="AM6" s="21">
        <f>IF(AE6="","",IFERROR(TRIM(INDEX($A6:$X6,MATCH(Lists!$F$10,$A$1:$X$1,0))&amp;""),""))</f>
        <v/>
      </c>
      <c r="AN6" s="21">
        <f>IF(AE6="","",IF(OR(AM6="Paid",AM6="Partially refunded"),"Paid",IF(Z6="Yes","Paid (by hand)",IF(AM6&lt;&gt;"",AM6,"Unpaid"))))</f>
        <v/>
      </c>
      <c r="AO6" s="21">
        <f>IF(AD6=1,COUNTIFS($AE$2:$AE$301,"&lt;"&amp;AE6,$AD$2:$AD$301,1)+COUNTIF($AE$2:AE6,AE6),"")</f>
        <v/>
      </c>
    </row>
    <row r="7">
      <c r="A7" s="18" t="inlineStr">
        <is>
          <t>EXAMPLE-06 (delete me)</t>
        </is>
      </c>
      <c r="B7" s="18" t="inlineStr">
        <is>
          <t>2026-10-08T09:15:00.000Z</t>
        </is>
      </c>
      <c r="C7" s="18" t="inlineStr">
        <is>
          <t>2026-10-08T09:09:00.000Z</t>
        </is>
      </c>
      <c r="D7" s="18" t="inlineStr">
        <is>
          <t>BLS for healthcare providers</t>
        </is>
      </c>
      <c r="E7" s="18" t="inlineStr">
        <is>
          <t>Eli Park</t>
        </is>
      </c>
      <c r="F7" s="18" t="inlineStr">
        <is>
          <t>eli@example.com</t>
        </is>
      </c>
      <c r="G7" s="18" t="inlineStr">
        <is>
          <t>555-0305</t>
        </is>
      </c>
      <c r="H7" s="18" t="inlineStr">
        <is>
          <t>Renewal</t>
        </is>
      </c>
      <c r="I7" s="18" t="inlineStr"/>
      <c r="J7" s="18" t="inlineStr"/>
      <c r="K7" s="18" t="inlineStr"/>
      <c r="L7" s="18" t="inlineStr">
        <is>
          <t>flyer</t>
        </is>
      </c>
      <c r="M7" s="18" t="inlineStr">
        <is>
          <t>No, I have one</t>
        </is>
      </c>
      <c r="N7" s="18" t="inlineStr">
        <is>
          <t>I've read the class policy</t>
        </is>
      </c>
      <c r="O7" s="18" t="n">
        <v>0</v>
      </c>
      <c r="P7" s="18" t="n">
        <v>1</v>
      </c>
      <c r="Y7" s="19" t="n"/>
      <c r="Z7" s="20" t="inlineStr"/>
      <c r="AA7" s="20" t="inlineStr"/>
      <c r="AB7" s="20" t="inlineStr"/>
      <c r="AC7" s="19" t="n"/>
      <c r="AD7" s="21">
        <f>IF(AE7="",0,1)</f>
        <v/>
      </c>
      <c r="AE7" s="21">
        <f>IFERROR(TRIM(INDEX($A7:$X7,MATCH(Lists!$F$2,$A$1:$X$1,0))&amp;""),"")</f>
        <v/>
      </c>
      <c r="AF7" s="21">
        <f>IF(AE7="","",IFERROR(TRIM(INDEX($A7:$X7,MATCH(Lists!$F$3,$A$1:$X$1,0))&amp;""),""))</f>
        <v/>
      </c>
      <c r="AG7" s="21">
        <f>IF(AE7="","",IFERROR(TRIM(INDEX($A7:$X7,MATCH(Lists!$F$4,$A$1:$X$1,0))&amp;""),""))</f>
        <v/>
      </c>
      <c r="AH7" s="21">
        <f>IF(AE7="","",LOWER(IFERROR(TRIM(INDEX($A7:$X7,MATCH(Lists!$F$5,$A$1:$X$1,0))&amp;""),"")))</f>
        <v/>
      </c>
      <c r="AI7" s="21">
        <f>IF(AE7="","",IFERROR(TRIM(INDEX($A7:$X7,MATCH(Lists!$F$6,$A$1:$X$1,0))&amp;""),""))</f>
        <v/>
      </c>
      <c r="AJ7" s="21">
        <f>IF(AE7="","",IF(LEFT(IFERROR(TRIM(INDEX($A7:$X7,MATCH(Lists!$F$7,$A$1:$X$1,0))&amp;""),""),3)="Yes","Yes","No"))</f>
        <v/>
      </c>
      <c r="AK7" s="21">
        <f>IF(AE7="","",IFERROR(TRIM(INDEX($A7:$X7,MATCH(Lists!$F$8,$A$1:$X$1,0))&amp;""),""))</f>
        <v/>
      </c>
      <c r="AL7" s="21">
        <f>IF(AE7="","",IFERROR(IF(TRIM(INDEX($A7:$X7,MATCH(Lists!$F$9,$A$1:$X$1,0))&amp;"")="","",VALUE(TRIM(INDEX($A7:$X7,MATCH(Lists!$F$9,$A$1:$X$1,0))&amp;""))),""))</f>
        <v/>
      </c>
      <c r="AM7" s="21">
        <f>IF(AE7="","",IFERROR(TRIM(INDEX($A7:$X7,MATCH(Lists!$F$10,$A$1:$X$1,0))&amp;""),""))</f>
        <v/>
      </c>
      <c r="AN7" s="21">
        <f>IF(AE7="","",IF(OR(AM7="Paid",AM7="Partially refunded"),"Paid",IF(Z7="Yes","Paid (by hand)",IF(AM7&lt;&gt;"",AM7,"Unpaid"))))</f>
        <v/>
      </c>
      <c r="AO7" s="21">
        <f>IF(AD7=1,COUNTIFS($AE$2:$AE$301,"&lt;"&amp;AE7,$AD$2:$AD$301,1)+COUNTIF($AE$2:AE7,AE7),"")</f>
        <v/>
      </c>
    </row>
    <row r="8">
      <c r="A8" s="18" t="inlineStr">
        <is>
          <t>EXAMPLE-07 (delete me)</t>
        </is>
      </c>
      <c r="B8" s="18" t="inlineStr">
        <is>
          <t>2026-10-09T09:16:00.000Z</t>
        </is>
      </c>
      <c r="C8" s="18" t="inlineStr">
        <is>
          <t>2026-10-09T09:10:00.000Z</t>
        </is>
      </c>
      <c r="D8" s="18" t="inlineStr">
        <is>
          <t>CPR, AED and first aid</t>
        </is>
      </c>
      <c r="E8" s="18" t="inlineStr">
        <is>
          <t>Zoe Martin</t>
        </is>
      </c>
      <c r="F8" s="18" t="inlineStr">
        <is>
          <t>zoe@example.com</t>
        </is>
      </c>
      <c r="G8" s="18" t="inlineStr">
        <is>
          <t>555-0306</t>
        </is>
      </c>
      <c r="H8" s="18" t="inlineStr">
        <is>
          <t>First course</t>
        </is>
      </c>
      <c r="I8" s="18" t="inlineStr"/>
      <c r="J8" s="18" t="inlineStr"/>
      <c r="K8" s="18" t="inlineStr"/>
      <c r="L8" s="18" t="inlineStr">
        <is>
          <t>flyer</t>
        </is>
      </c>
      <c r="M8" s="18" t="inlineStr">
        <is>
          <t>Yes, please add one</t>
        </is>
      </c>
      <c r="N8" s="18" t="inlineStr">
        <is>
          <t>I've read the class policy</t>
        </is>
      </c>
      <c r="O8" s="18" t="n">
        <v>0</v>
      </c>
      <c r="P8" s="18" t="n">
        <v>1</v>
      </c>
      <c r="Y8" s="19" t="n"/>
      <c r="Z8" s="20" t="inlineStr">
        <is>
          <t>Yes</t>
        </is>
      </c>
      <c r="AA8" s="20" t="inlineStr">
        <is>
          <t>Yes</t>
        </is>
      </c>
      <c r="AB8" s="20" t="inlineStr"/>
      <c r="AC8" s="19" t="n"/>
      <c r="AD8" s="21">
        <f>IF(AE8="",0,1)</f>
        <v/>
      </c>
      <c r="AE8" s="21">
        <f>IFERROR(TRIM(INDEX($A8:$X8,MATCH(Lists!$F$2,$A$1:$X$1,0))&amp;""),"")</f>
        <v/>
      </c>
      <c r="AF8" s="21">
        <f>IF(AE8="","",IFERROR(TRIM(INDEX($A8:$X8,MATCH(Lists!$F$3,$A$1:$X$1,0))&amp;""),""))</f>
        <v/>
      </c>
      <c r="AG8" s="21">
        <f>IF(AE8="","",IFERROR(TRIM(INDEX($A8:$X8,MATCH(Lists!$F$4,$A$1:$X$1,0))&amp;""),""))</f>
        <v/>
      </c>
      <c r="AH8" s="21">
        <f>IF(AE8="","",LOWER(IFERROR(TRIM(INDEX($A8:$X8,MATCH(Lists!$F$5,$A$1:$X$1,0))&amp;""),"")))</f>
        <v/>
      </c>
      <c r="AI8" s="21">
        <f>IF(AE8="","",IFERROR(TRIM(INDEX($A8:$X8,MATCH(Lists!$F$6,$A$1:$X$1,0))&amp;""),""))</f>
        <v/>
      </c>
      <c r="AJ8" s="21">
        <f>IF(AE8="","",IF(LEFT(IFERROR(TRIM(INDEX($A8:$X8,MATCH(Lists!$F$7,$A$1:$X$1,0))&amp;""),""),3)="Yes","Yes","No"))</f>
        <v/>
      </c>
      <c r="AK8" s="21">
        <f>IF(AE8="","",IFERROR(TRIM(INDEX($A8:$X8,MATCH(Lists!$F$8,$A$1:$X$1,0))&amp;""),""))</f>
        <v/>
      </c>
      <c r="AL8" s="21">
        <f>IF(AE8="","",IFERROR(IF(TRIM(INDEX($A8:$X8,MATCH(Lists!$F$9,$A$1:$X$1,0))&amp;"")="","",VALUE(TRIM(INDEX($A8:$X8,MATCH(Lists!$F$9,$A$1:$X$1,0))&amp;""))),""))</f>
        <v/>
      </c>
      <c r="AM8" s="21">
        <f>IF(AE8="","",IFERROR(TRIM(INDEX($A8:$X8,MATCH(Lists!$F$10,$A$1:$X$1,0))&amp;""),""))</f>
        <v/>
      </c>
      <c r="AN8" s="21">
        <f>IF(AE8="","",IF(OR(AM8="Paid",AM8="Partially refunded"),"Paid",IF(Z8="Yes","Paid (by hand)",IF(AM8&lt;&gt;"",AM8,"Unpaid"))))</f>
        <v/>
      </c>
      <c r="AO8" s="21">
        <f>IF(AD8=1,COUNTIFS($AE$2:$AE$301,"&lt;"&amp;AE8,$AD$2:$AD$301,1)+COUNTIF($AE$2:AE8,AE8),"")</f>
        <v/>
      </c>
    </row>
    <row r="9">
      <c r="A9" s="18" t="inlineStr">
        <is>
          <t>EXAMPLE-08 (delete me)</t>
        </is>
      </c>
      <c r="B9" s="18" t="inlineStr">
        <is>
          <t>2026-10-10T09:17:00.000Z</t>
        </is>
      </c>
      <c r="C9" s="18" t="inlineStr">
        <is>
          <t>2026-10-10T09:11:00.000Z</t>
        </is>
      </c>
      <c r="D9" s="18" t="inlineStr">
        <is>
          <t>Not sure, please help me choose</t>
        </is>
      </c>
      <c r="E9" s="18" t="inlineStr">
        <is>
          <t>Marco Diaz</t>
        </is>
      </c>
      <c r="F9" s="18" t="inlineStr">
        <is>
          <t>marco@example.com</t>
        </is>
      </c>
      <c r="G9" s="18" t="inlineStr">
        <is>
          <t>555-0307</t>
        </is>
      </c>
      <c r="H9" s="18" t="inlineStr">
        <is>
          <t>First course</t>
        </is>
      </c>
      <c r="I9" s="18" t="inlineStr"/>
      <c r="J9" s="18" t="inlineStr"/>
      <c r="K9" s="18" t="inlineStr"/>
      <c r="L9" s="18" t="inlineStr">
        <is>
          <t>flyer</t>
        </is>
      </c>
      <c r="M9" s="18" t="inlineStr">
        <is>
          <t>No, I have one</t>
        </is>
      </c>
      <c r="N9" s="18" t="inlineStr">
        <is>
          <t>I've read the class policy</t>
        </is>
      </c>
      <c r="O9" s="18" t="n">
        <v>0</v>
      </c>
      <c r="P9" s="18" t="n">
        <v>1</v>
      </c>
      <c r="Y9" s="19" t="n"/>
      <c r="Z9" s="20" t="inlineStr"/>
      <c r="AA9" s="20" t="inlineStr"/>
      <c r="AB9" s="20" t="inlineStr">
        <is>
          <t>Call to pick a course</t>
        </is>
      </c>
      <c r="AC9" s="19" t="n"/>
      <c r="AD9" s="21">
        <f>IF(AE9="",0,1)</f>
        <v/>
      </c>
      <c r="AE9" s="21">
        <f>IFERROR(TRIM(INDEX($A9:$X9,MATCH(Lists!$F$2,$A$1:$X$1,0))&amp;""),"")</f>
        <v/>
      </c>
      <c r="AF9" s="21">
        <f>IF(AE9="","",IFERROR(TRIM(INDEX($A9:$X9,MATCH(Lists!$F$3,$A$1:$X$1,0))&amp;""),""))</f>
        <v/>
      </c>
      <c r="AG9" s="21">
        <f>IF(AE9="","",IFERROR(TRIM(INDEX($A9:$X9,MATCH(Lists!$F$4,$A$1:$X$1,0))&amp;""),""))</f>
        <v/>
      </c>
      <c r="AH9" s="21">
        <f>IF(AE9="","",LOWER(IFERROR(TRIM(INDEX($A9:$X9,MATCH(Lists!$F$5,$A$1:$X$1,0))&amp;""),"")))</f>
        <v/>
      </c>
      <c r="AI9" s="21">
        <f>IF(AE9="","",IFERROR(TRIM(INDEX($A9:$X9,MATCH(Lists!$F$6,$A$1:$X$1,0))&amp;""),""))</f>
        <v/>
      </c>
      <c r="AJ9" s="21">
        <f>IF(AE9="","",IF(LEFT(IFERROR(TRIM(INDEX($A9:$X9,MATCH(Lists!$F$7,$A$1:$X$1,0))&amp;""),""),3)="Yes","Yes","No"))</f>
        <v/>
      </c>
      <c r="AK9" s="21">
        <f>IF(AE9="","",IFERROR(TRIM(INDEX($A9:$X9,MATCH(Lists!$F$8,$A$1:$X$1,0))&amp;""),""))</f>
        <v/>
      </c>
      <c r="AL9" s="21">
        <f>IF(AE9="","",IFERROR(IF(TRIM(INDEX($A9:$X9,MATCH(Lists!$F$9,$A$1:$X$1,0))&amp;"")="","",VALUE(TRIM(INDEX($A9:$X9,MATCH(Lists!$F$9,$A$1:$X$1,0))&amp;""))),""))</f>
        <v/>
      </c>
      <c r="AM9" s="21">
        <f>IF(AE9="","",IFERROR(TRIM(INDEX($A9:$X9,MATCH(Lists!$F$10,$A$1:$X$1,0))&amp;""),""))</f>
        <v/>
      </c>
      <c r="AN9" s="21">
        <f>IF(AE9="","",IF(OR(AM9="Paid",AM9="Partially refunded"),"Paid",IF(Z9="Yes","Paid (by hand)",IF(AM9&lt;&gt;"",AM9,"Unpaid"))))</f>
        <v/>
      </c>
      <c r="AO9" s="21">
        <f>IF(AD9=1,COUNTIFS($AE$2:$AE$301,"&lt;"&amp;AE9,$AD$2:$AD$301,1)+COUNTIF($AE$2:AE9,AE9),"")</f>
        <v/>
      </c>
    </row>
    <row r="10">
      <c r="Y10" s="19" t="n"/>
      <c r="Z10" s="22" t="n"/>
      <c r="AA10" s="22" t="n"/>
      <c r="AB10" s="22" t="n"/>
      <c r="AC10" s="19" t="n"/>
      <c r="AD10" s="21">
        <f>IF(AE10="",0,1)</f>
        <v/>
      </c>
      <c r="AE10" s="21">
        <f>IFERROR(TRIM(INDEX($A10:$X10,MATCH(Lists!$F$2,$A$1:$X$1,0))&amp;""),"")</f>
        <v/>
      </c>
      <c r="AF10" s="21">
        <f>IF(AE10="","",IFERROR(TRIM(INDEX($A10:$X10,MATCH(Lists!$F$3,$A$1:$X$1,0))&amp;""),""))</f>
        <v/>
      </c>
      <c r="AG10" s="21">
        <f>IF(AE10="","",IFERROR(TRIM(INDEX($A10:$X10,MATCH(Lists!$F$4,$A$1:$X$1,0))&amp;""),""))</f>
        <v/>
      </c>
      <c r="AH10" s="21">
        <f>IF(AE10="","",LOWER(IFERROR(TRIM(INDEX($A10:$X10,MATCH(Lists!$F$5,$A$1:$X$1,0))&amp;""),"")))</f>
        <v/>
      </c>
      <c r="AI10" s="21">
        <f>IF(AE10="","",IFERROR(TRIM(INDEX($A10:$X10,MATCH(Lists!$F$6,$A$1:$X$1,0))&amp;""),""))</f>
        <v/>
      </c>
      <c r="AJ10" s="21">
        <f>IF(AE10="","",IF(LEFT(IFERROR(TRIM(INDEX($A10:$X10,MATCH(Lists!$F$7,$A$1:$X$1,0))&amp;""),""),3)="Yes","Yes","No"))</f>
        <v/>
      </c>
      <c r="AK10" s="21">
        <f>IF(AE10="","",IFERROR(TRIM(INDEX($A10:$X10,MATCH(Lists!$F$8,$A$1:$X$1,0))&amp;""),""))</f>
        <v/>
      </c>
      <c r="AL10" s="21">
        <f>IF(AE10="","",IFERROR(IF(TRIM(INDEX($A10:$X10,MATCH(Lists!$F$9,$A$1:$X$1,0))&amp;"")="","",VALUE(TRIM(INDEX($A10:$X10,MATCH(Lists!$F$9,$A$1:$X$1,0))&amp;""))),""))</f>
        <v/>
      </c>
      <c r="AM10" s="21">
        <f>IF(AE10="","",IFERROR(TRIM(INDEX($A10:$X10,MATCH(Lists!$F$10,$A$1:$X$1,0))&amp;""),""))</f>
        <v/>
      </c>
      <c r="AN10" s="21">
        <f>IF(AE10="","",IF(OR(AM10="Paid",AM10="Partially refunded"),"Paid",IF(Z10="Yes","Paid (by hand)",IF(AM10&lt;&gt;"",AM10,"Unpaid"))))</f>
        <v/>
      </c>
      <c r="AO10" s="21">
        <f>IF(AD10=1,COUNTIFS($AE$2:$AE$301,"&lt;"&amp;AE10,$AD$2:$AD$301,1)+COUNTIF($AE$2:AE10,AE10),"")</f>
        <v/>
      </c>
    </row>
    <row r="11">
      <c r="Y11" s="19" t="n"/>
      <c r="Z11" s="22" t="n"/>
      <c r="AA11" s="22" t="n"/>
      <c r="AB11" s="22" t="n"/>
      <c r="AC11" s="19" t="n"/>
      <c r="AD11" s="21">
        <f>IF(AE11="",0,1)</f>
        <v/>
      </c>
      <c r="AE11" s="21">
        <f>IFERROR(TRIM(INDEX($A11:$X11,MATCH(Lists!$F$2,$A$1:$X$1,0))&amp;""),"")</f>
        <v/>
      </c>
      <c r="AF11" s="21">
        <f>IF(AE11="","",IFERROR(TRIM(INDEX($A11:$X11,MATCH(Lists!$F$3,$A$1:$X$1,0))&amp;""),""))</f>
        <v/>
      </c>
      <c r="AG11" s="21">
        <f>IF(AE11="","",IFERROR(TRIM(INDEX($A11:$X11,MATCH(Lists!$F$4,$A$1:$X$1,0))&amp;""),""))</f>
        <v/>
      </c>
      <c r="AH11" s="21">
        <f>IF(AE11="","",LOWER(IFERROR(TRIM(INDEX($A11:$X11,MATCH(Lists!$F$5,$A$1:$X$1,0))&amp;""),"")))</f>
        <v/>
      </c>
      <c r="AI11" s="21">
        <f>IF(AE11="","",IFERROR(TRIM(INDEX($A11:$X11,MATCH(Lists!$F$6,$A$1:$X$1,0))&amp;""),""))</f>
        <v/>
      </c>
      <c r="AJ11" s="21">
        <f>IF(AE11="","",IF(LEFT(IFERROR(TRIM(INDEX($A11:$X11,MATCH(Lists!$F$7,$A$1:$X$1,0))&amp;""),""),3)="Yes","Yes","No"))</f>
        <v/>
      </c>
      <c r="AK11" s="21">
        <f>IF(AE11="","",IFERROR(TRIM(INDEX($A11:$X11,MATCH(Lists!$F$8,$A$1:$X$1,0))&amp;""),""))</f>
        <v/>
      </c>
      <c r="AL11" s="21">
        <f>IF(AE11="","",IFERROR(IF(TRIM(INDEX($A11:$X11,MATCH(Lists!$F$9,$A$1:$X$1,0))&amp;"")="","",VALUE(TRIM(INDEX($A11:$X11,MATCH(Lists!$F$9,$A$1:$X$1,0))&amp;""))),""))</f>
        <v/>
      </c>
      <c r="AM11" s="21">
        <f>IF(AE11="","",IFERROR(TRIM(INDEX($A11:$X11,MATCH(Lists!$F$10,$A$1:$X$1,0))&amp;""),""))</f>
        <v/>
      </c>
      <c r="AN11" s="21">
        <f>IF(AE11="","",IF(OR(AM11="Paid",AM11="Partially refunded"),"Paid",IF(Z11="Yes","Paid (by hand)",IF(AM11&lt;&gt;"",AM11,"Unpaid"))))</f>
        <v/>
      </c>
      <c r="AO11" s="21">
        <f>IF(AD11=1,COUNTIFS($AE$2:$AE$301,"&lt;"&amp;AE11,$AD$2:$AD$301,1)+COUNTIF($AE$2:AE11,AE11),"")</f>
        <v/>
      </c>
    </row>
    <row r="12">
      <c r="Y12" s="19" t="n"/>
      <c r="Z12" s="22" t="n"/>
      <c r="AA12" s="22" t="n"/>
      <c r="AB12" s="22" t="n"/>
      <c r="AC12" s="19" t="n"/>
      <c r="AD12" s="21">
        <f>IF(AE12="",0,1)</f>
        <v/>
      </c>
      <c r="AE12" s="21">
        <f>IFERROR(TRIM(INDEX($A12:$X12,MATCH(Lists!$F$2,$A$1:$X$1,0))&amp;""),"")</f>
        <v/>
      </c>
      <c r="AF12" s="21">
        <f>IF(AE12="","",IFERROR(TRIM(INDEX($A12:$X12,MATCH(Lists!$F$3,$A$1:$X$1,0))&amp;""),""))</f>
        <v/>
      </c>
      <c r="AG12" s="21">
        <f>IF(AE12="","",IFERROR(TRIM(INDEX($A12:$X12,MATCH(Lists!$F$4,$A$1:$X$1,0))&amp;""),""))</f>
        <v/>
      </c>
      <c r="AH12" s="21">
        <f>IF(AE12="","",LOWER(IFERROR(TRIM(INDEX($A12:$X12,MATCH(Lists!$F$5,$A$1:$X$1,0))&amp;""),"")))</f>
        <v/>
      </c>
      <c r="AI12" s="21">
        <f>IF(AE12="","",IFERROR(TRIM(INDEX($A12:$X12,MATCH(Lists!$F$6,$A$1:$X$1,0))&amp;""),""))</f>
        <v/>
      </c>
      <c r="AJ12" s="21">
        <f>IF(AE12="","",IF(LEFT(IFERROR(TRIM(INDEX($A12:$X12,MATCH(Lists!$F$7,$A$1:$X$1,0))&amp;""),""),3)="Yes","Yes","No"))</f>
        <v/>
      </c>
      <c r="AK12" s="21">
        <f>IF(AE12="","",IFERROR(TRIM(INDEX($A12:$X12,MATCH(Lists!$F$8,$A$1:$X$1,0))&amp;""),""))</f>
        <v/>
      </c>
      <c r="AL12" s="21">
        <f>IF(AE12="","",IFERROR(IF(TRIM(INDEX($A12:$X12,MATCH(Lists!$F$9,$A$1:$X$1,0))&amp;"")="","",VALUE(TRIM(INDEX($A12:$X12,MATCH(Lists!$F$9,$A$1:$X$1,0))&amp;""))),""))</f>
        <v/>
      </c>
      <c r="AM12" s="21">
        <f>IF(AE12="","",IFERROR(TRIM(INDEX($A12:$X12,MATCH(Lists!$F$10,$A$1:$X$1,0))&amp;""),""))</f>
        <v/>
      </c>
      <c r="AN12" s="21">
        <f>IF(AE12="","",IF(OR(AM12="Paid",AM12="Partially refunded"),"Paid",IF(Z12="Yes","Paid (by hand)",IF(AM12&lt;&gt;"",AM12,"Unpaid"))))</f>
        <v/>
      </c>
      <c r="AO12" s="21">
        <f>IF(AD12=1,COUNTIFS($AE$2:$AE$301,"&lt;"&amp;AE12,$AD$2:$AD$301,1)+COUNTIF($AE$2:AE12,AE12),"")</f>
        <v/>
      </c>
    </row>
    <row r="13">
      <c r="Y13" s="19" t="n"/>
      <c r="Z13" s="22" t="n"/>
      <c r="AA13" s="22" t="n"/>
      <c r="AB13" s="22" t="n"/>
      <c r="AC13" s="19" t="n"/>
      <c r="AD13" s="21">
        <f>IF(AE13="",0,1)</f>
        <v/>
      </c>
      <c r="AE13" s="21">
        <f>IFERROR(TRIM(INDEX($A13:$X13,MATCH(Lists!$F$2,$A$1:$X$1,0))&amp;""),"")</f>
        <v/>
      </c>
      <c r="AF13" s="21">
        <f>IF(AE13="","",IFERROR(TRIM(INDEX($A13:$X13,MATCH(Lists!$F$3,$A$1:$X$1,0))&amp;""),""))</f>
        <v/>
      </c>
      <c r="AG13" s="21">
        <f>IF(AE13="","",IFERROR(TRIM(INDEX($A13:$X13,MATCH(Lists!$F$4,$A$1:$X$1,0))&amp;""),""))</f>
        <v/>
      </c>
      <c r="AH13" s="21">
        <f>IF(AE13="","",LOWER(IFERROR(TRIM(INDEX($A13:$X13,MATCH(Lists!$F$5,$A$1:$X$1,0))&amp;""),"")))</f>
        <v/>
      </c>
      <c r="AI13" s="21">
        <f>IF(AE13="","",IFERROR(TRIM(INDEX($A13:$X13,MATCH(Lists!$F$6,$A$1:$X$1,0))&amp;""),""))</f>
        <v/>
      </c>
      <c r="AJ13" s="21">
        <f>IF(AE13="","",IF(LEFT(IFERROR(TRIM(INDEX($A13:$X13,MATCH(Lists!$F$7,$A$1:$X$1,0))&amp;""),""),3)="Yes","Yes","No"))</f>
        <v/>
      </c>
      <c r="AK13" s="21">
        <f>IF(AE13="","",IFERROR(TRIM(INDEX($A13:$X13,MATCH(Lists!$F$8,$A$1:$X$1,0))&amp;""),""))</f>
        <v/>
      </c>
      <c r="AL13" s="21">
        <f>IF(AE13="","",IFERROR(IF(TRIM(INDEX($A13:$X13,MATCH(Lists!$F$9,$A$1:$X$1,0))&amp;"")="","",VALUE(TRIM(INDEX($A13:$X13,MATCH(Lists!$F$9,$A$1:$X$1,0))&amp;""))),""))</f>
        <v/>
      </c>
      <c r="AM13" s="21">
        <f>IF(AE13="","",IFERROR(TRIM(INDEX($A13:$X13,MATCH(Lists!$F$10,$A$1:$X$1,0))&amp;""),""))</f>
        <v/>
      </c>
      <c r="AN13" s="21">
        <f>IF(AE13="","",IF(OR(AM13="Paid",AM13="Partially refunded"),"Paid",IF(Z13="Yes","Paid (by hand)",IF(AM13&lt;&gt;"",AM13,"Unpaid"))))</f>
        <v/>
      </c>
      <c r="AO13" s="21">
        <f>IF(AD13=1,COUNTIFS($AE$2:$AE$301,"&lt;"&amp;AE13,$AD$2:$AD$301,1)+COUNTIF($AE$2:AE13,AE13),"")</f>
        <v/>
      </c>
    </row>
    <row r="14">
      <c r="Y14" s="19" t="n"/>
      <c r="Z14" s="22" t="n"/>
      <c r="AA14" s="22" t="n"/>
      <c r="AB14" s="22" t="n"/>
      <c r="AC14" s="19" t="n"/>
      <c r="AD14" s="21">
        <f>IF(AE14="",0,1)</f>
        <v/>
      </c>
      <c r="AE14" s="21">
        <f>IFERROR(TRIM(INDEX($A14:$X14,MATCH(Lists!$F$2,$A$1:$X$1,0))&amp;""),"")</f>
        <v/>
      </c>
      <c r="AF14" s="21">
        <f>IF(AE14="","",IFERROR(TRIM(INDEX($A14:$X14,MATCH(Lists!$F$3,$A$1:$X$1,0))&amp;""),""))</f>
        <v/>
      </c>
      <c r="AG14" s="21">
        <f>IF(AE14="","",IFERROR(TRIM(INDEX($A14:$X14,MATCH(Lists!$F$4,$A$1:$X$1,0))&amp;""),""))</f>
        <v/>
      </c>
      <c r="AH14" s="21">
        <f>IF(AE14="","",LOWER(IFERROR(TRIM(INDEX($A14:$X14,MATCH(Lists!$F$5,$A$1:$X$1,0))&amp;""),"")))</f>
        <v/>
      </c>
      <c r="AI14" s="21">
        <f>IF(AE14="","",IFERROR(TRIM(INDEX($A14:$X14,MATCH(Lists!$F$6,$A$1:$X$1,0))&amp;""),""))</f>
        <v/>
      </c>
      <c r="AJ14" s="21">
        <f>IF(AE14="","",IF(LEFT(IFERROR(TRIM(INDEX($A14:$X14,MATCH(Lists!$F$7,$A$1:$X$1,0))&amp;""),""),3)="Yes","Yes","No"))</f>
        <v/>
      </c>
      <c r="AK14" s="21">
        <f>IF(AE14="","",IFERROR(TRIM(INDEX($A14:$X14,MATCH(Lists!$F$8,$A$1:$X$1,0))&amp;""),""))</f>
        <v/>
      </c>
      <c r="AL14" s="21">
        <f>IF(AE14="","",IFERROR(IF(TRIM(INDEX($A14:$X14,MATCH(Lists!$F$9,$A$1:$X$1,0))&amp;"")="","",VALUE(TRIM(INDEX($A14:$X14,MATCH(Lists!$F$9,$A$1:$X$1,0))&amp;""))),""))</f>
        <v/>
      </c>
      <c r="AM14" s="21">
        <f>IF(AE14="","",IFERROR(TRIM(INDEX($A14:$X14,MATCH(Lists!$F$10,$A$1:$X$1,0))&amp;""),""))</f>
        <v/>
      </c>
      <c r="AN14" s="21">
        <f>IF(AE14="","",IF(OR(AM14="Paid",AM14="Partially refunded"),"Paid",IF(Z14="Yes","Paid (by hand)",IF(AM14&lt;&gt;"",AM14,"Unpaid"))))</f>
        <v/>
      </c>
      <c r="AO14" s="21">
        <f>IF(AD14=1,COUNTIFS($AE$2:$AE$301,"&lt;"&amp;AE14,$AD$2:$AD$301,1)+COUNTIF($AE$2:AE14,AE14),"")</f>
        <v/>
      </c>
    </row>
    <row r="15">
      <c r="Y15" s="19" t="n"/>
      <c r="Z15" s="22" t="n"/>
      <c r="AA15" s="22" t="n"/>
      <c r="AB15" s="22" t="n"/>
      <c r="AC15" s="19" t="n"/>
      <c r="AD15" s="21">
        <f>IF(AE15="",0,1)</f>
        <v/>
      </c>
      <c r="AE15" s="21">
        <f>IFERROR(TRIM(INDEX($A15:$X15,MATCH(Lists!$F$2,$A$1:$X$1,0))&amp;""),"")</f>
        <v/>
      </c>
      <c r="AF15" s="21">
        <f>IF(AE15="","",IFERROR(TRIM(INDEX($A15:$X15,MATCH(Lists!$F$3,$A$1:$X$1,0))&amp;""),""))</f>
        <v/>
      </c>
      <c r="AG15" s="21">
        <f>IF(AE15="","",IFERROR(TRIM(INDEX($A15:$X15,MATCH(Lists!$F$4,$A$1:$X$1,0))&amp;""),""))</f>
        <v/>
      </c>
      <c r="AH15" s="21">
        <f>IF(AE15="","",LOWER(IFERROR(TRIM(INDEX($A15:$X15,MATCH(Lists!$F$5,$A$1:$X$1,0))&amp;""),"")))</f>
        <v/>
      </c>
      <c r="AI15" s="21">
        <f>IF(AE15="","",IFERROR(TRIM(INDEX($A15:$X15,MATCH(Lists!$F$6,$A$1:$X$1,0))&amp;""),""))</f>
        <v/>
      </c>
      <c r="AJ15" s="21">
        <f>IF(AE15="","",IF(LEFT(IFERROR(TRIM(INDEX($A15:$X15,MATCH(Lists!$F$7,$A$1:$X$1,0))&amp;""),""),3)="Yes","Yes","No"))</f>
        <v/>
      </c>
      <c r="AK15" s="21">
        <f>IF(AE15="","",IFERROR(TRIM(INDEX($A15:$X15,MATCH(Lists!$F$8,$A$1:$X$1,0))&amp;""),""))</f>
        <v/>
      </c>
      <c r="AL15" s="21">
        <f>IF(AE15="","",IFERROR(IF(TRIM(INDEX($A15:$X15,MATCH(Lists!$F$9,$A$1:$X$1,0))&amp;"")="","",VALUE(TRIM(INDEX($A15:$X15,MATCH(Lists!$F$9,$A$1:$X$1,0))&amp;""))),""))</f>
        <v/>
      </c>
      <c r="AM15" s="21">
        <f>IF(AE15="","",IFERROR(TRIM(INDEX($A15:$X15,MATCH(Lists!$F$10,$A$1:$X$1,0))&amp;""),""))</f>
        <v/>
      </c>
      <c r="AN15" s="21">
        <f>IF(AE15="","",IF(OR(AM15="Paid",AM15="Partially refunded"),"Paid",IF(Z15="Yes","Paid (by hand)",IF(AM15&lt;&gt;"",AM15,"Unpaid"))))</f>
        <v/>
      </c>
      <c r="AO15" s="21">
        <f>IF(AD15=1,COUNTIFS($AE$2:$AE$301,"&lt;"&amp;AE15,$AD$2:$AD$301,1)+COUNTIF($AE$2:AE15,AE15),"")</f>
        <v/>
      </c>
    </row>
    <row r="16">
      <c r="Y16" s="19" t="n"/>
      <c r="Z16" s="22" t="n"/>
      <c r="AA16" s="22" t="n"/>
      <c r="AB16" s="22" t="n"/>
      <c r="AC16" s="19" t="n"/>
      <c r="AD16" s="21">
        <f>IF(AE16="",0,1)</f>
        <v/>
      </c>
      <c r="AE16" s="21">
        <f>IFERROR(TRIM(INDEX($A16:$X16,MATCH(Lists!$F$2,$A$1:$X$1,0))&amp;""),"")</f>
        <v/>
      </c>
      <c r="AF16" s="21">
        <f>IF(AE16="","",IFERROR(TRIM(INDEX($A16:$X16,MATCH(Lists!$F$3,$A$1:$X$1,0))&amp;""),""))</f>
        <v/>
      </c>
      <c r="AG16" s="21">
        <f>IF(AE16="","",IFERROR(TRIM(INDEX($A16:$X16,MATCH(Lists!$F$4,$A$1:$X$1,0))&amp;""),""))</f>
        <v/>
      </c>
      <c r="AH16" s="21">
        <f>IF(AE16="","",LOWER(IFERROR(TRIM(INDEX($A16:$X16,MATCH(Lists!$F$5,$A$1:$X$1,0))&amp;""),"")))</f>
        <v/>
      </c>
      <c r="AI16" s="21">
        <f>IF(AE16="","",IFERROR(TRIM(INDEX($A16:$X16,MATCH(Lists!$F$6,$A$1:$X$1,0))&amp;""),""))</f>
        <v/>
      </c>
      <c r="AJ16" s="21">
        <f>IF(AE16="","",IF(LEFT(IFERROR(TRIM(INDEX($A16:$X16,MATCH(Lists!$F$7,$A$1:$X$1,0))&amp;""),""),3)="Yes","Yes","No"))</f>
        <v/>
      </c>
      <c r="AK16" s="21">
        <f>IF(AE16="","",IFERROR(TRIM(INDEX($A16:$X16,MATCH(Lists!$F$8,$A$1:$X$1,0))&amp;""),""))</f>
        <v/>
      </c>
      <c r="AL16" s="21">
        <f>IF(AE16="","",IFERROR(IF(TRIM(INDEX($A16:$X16,MATCH(Lists!$F$9,$A$1:$X$1,0))&amp;"")="","",VALUE(TRIM(INDEX($A16:$X16,MATCH(Lists!$F$9,$A$1:$X$1,0))&amp;""))),""))</f>
        <v/>
      </c>
      <c r="AM16" s="21">
        <f>IF(AE16="","",IFERROR(TRIM(INDEX($A16:$X16,MATCH(Lists!$F$10,$A$1:$X$1,0))&amp;""),""))</f>
        <v/>
      </c>
      <c r="AN16" s="21">
        <f>IF(AE16="","",IF(OR(AM16="Paid",AM16="Partially refunded"),"Paid",IF(Z16="Yes","Paid (by hand)",IF(AM16&lt;&gt;"",AM16,"Unpaid"))))</f>
        <v/>
      </c>
      <c r="AO16" s="21">
        <f>IF(AD16=1,COUNTIFS($AE$2:$AE$301,"&lt;"&amp;AE16,$AD$2:$AD$301,1)+COUNTIF($AE$2:AE16,AE16),"")</f>
        <v/>
      </c>
    </row>
    <row r="17">
      <c r="Y17" s="19" t="n"/>
      <c r="Z17" s="22" t="n"/>
      <c r="AA17" s="22" t="n"/>
      <c r="AB17" s="22" t="n"/>
      <c r="AC17" s="19" t="n"/>
      <c r="AD17" s="21">
        <f>IF(AE17="",0,1)</f>
        <v/>
      </c>
      <c r="AE17" s="21">
        <f>IFERROR(TRIM(INDEX($A17:$X17,MATCH(Lists!$F$2,$A$1:$X$1,0))&amp;""),"")</f>
        <v/>
      </c>
      <c r="AF17" s="21">
        <f>IF(AE17="","",IFERROR(TRIM(INDEX($A17:$X17,MATCH(Lists!$F$3,$A$1:$X$1,0))&amp;""),""))</f>
        <v/>
      </c>
      <c r="AG17" s="21">
        <f>IF(AE17="","",IFERROR(TRIM(INDEX($A17:$X17,MATCH(Lists!$F$4,$A$1:$X$1,0))&amp;""),""))</f>
        <v/>
      </c>
      <c r="AH17" s="21">
        <f>IF(AE17="","",LOWER(IFERROR(TRIM(INDEX($A17:$X17,MATCH(Lists!$F$5,$A$1:$X$1,0))&amp;""),"")))</f>
        <v/>
      </c>
      <c r="AI17" s="21">
        <f>IF(AE17="","",IFERROR(TRIM(INDEX($A17:$X17,MATCH(Lists!$F$6,$A$1:$X$1,0))&amp;""),""))</f>
        <v/>
      </c>
      <c r="AJ17" s="21">
        <f>IF(AE17="","",IF(LEFT(IFERROR(TRIM(INDEX($A17:$X17,MATCH(Lists!$F$7,$A$1:$X$1,0))&amp;""),""),3)="Yes","Yes","No"))</f>
        <v/>
      </c>
      <c r="AK17" s="21">
        <f>IF(AE17="","",IFERROR(TRIM(INDEX($A17:$X17,MATCH(Lists!$F$8,$A$1:$X$1,0))&amp;""),""))</f>
        <v/>
      </c>
      <c r="AL17" s="21">
        <f>IF(AE17="","",IFERROR(IF(TRIM(INDEX($A17:$X17,MATCH(Lists!$F$9,$A$1:$X$1,0))&amp;"")="","",VALUE(TRIM(INDEX($A17:$X17,MATCH(Lists!$F$9,$A$1:$X$1,0))&amp;""))),""))</f>
        <v/>
      </c>
      <c r="AM17" s="21">
        <f>IF(AE17="","",IFERROR(TRIM(INDEX($A17:$X17,MATCH(Lists!$F$10,$A$1:$X$1,0))&amp;""),""))</f>
        <v/>
      </c>
      <c r="AN17" s="21">
        <f>IF(AE17="","",IF(OR(AM17="Paid",AM17="Partially refunded"),"Paid",IF(Z17="Yes","Paid (by hand)",IF(AM17&lt;&gt;"",AM17,"Unpaid"))))</f>
        <v/>
      </c>
      <c r="AO17" s="21">
        <f>IF(AD17=1,COUNTIFS($AE$2:$AE$301,"&lt;"&amp;AE17,$AD$2:$AD$301,1)+COUNTIF($AE$2:AE17,AE17),"")</f>
        <v/>
      </c>
    </row>
    <row r="18">
      <c r="Y18" s="19" t="n"/>
      <c r="Z18" s="22" t="n"/>
      <c r="AA18" s="22" t="n"/>
      <c r="AB18" s="22" t="n"/>
      <c r="AC18" s="19" t="n"/>
      <c r="AD18" s="21">
        <f>IF(AE18="",0,1)</f>
        <v/>
      </c>
      <c r="AE18" s="21">
        <f>IFERROR(TRIM(INDEX($A18:$X18,MATCH(Lists!$F$2,$A$1:$X$1,0))&amp;""),"")</f>
        <v/>
      </c>
      <c r="AF18" s="21">
        <f>IF(AE18="","",IFERROR(TRIM(INDEX($A18:$X18,MATCH(Lists!$F$3,$A$1:$X$1,0))&amp;""),""))</f>
        <v/>
      </c>
      <c r="AG18" s="21">
        <f>IF(AE18="","",IFERROR(TRIM(INDEX($A18:$X18,MATCH(Lists!$F$4,$A$1:$X$1,0))&amp;""),""))</f>
        <v/>
      </c>
      <c r="AH18" s="21">
        <f>IF(AE18="","",LOWER(IFERROR(TRIM(INDEX($A18:$X18,MATCH(Lists!$F$5,$A$1:$X$1,0))&amp;""),"")))</f>
        <v/>
      </c>
      <c r="AI18" s="21">
        <f>IF(AE18="","",IFERROR(TRIM(INDEX($A18:$X18,MATCH(Lists!$F$6,$A$1:$X$1,0))&amp;""),""))</f>
        <v/>
      </c>
      <c r="AJ18" s="21">
        <f>IF(AE18="","",IF(LEFT(IFERROR(TRIM(INDEX($A18:$X18,MATCH(Lists!$F$7,$A$1:$X$1,0))&amp;""),""),3)="Yes","Yes","No"))</f>
        <v/>
      </c>
      <c r="AK18" s="21">
        <f>IF(AE18="","",IFERROR(TRIM(INDEX($A18:$X18,MATCH(Lists!$F$8,$A$1:$X$1,0))&amp;""),""))</f>
        <v/>
      </c>
      <c r="AL18" s="21">
        <f>IF(AE18="","",IFERROR(IF(TRIM(INDEX($A18:$X18,MATCH(Lists!$F$9,$A$1:$X$1,0))&amp;"")="","",VALUE(TRIM(INDEX($A18:$X18,MATCH(Lists!$F$9,$A$1:$X$1,0))&amp;""))),""))</f>
        <v/>
      </c>
      <c r="AM18" s="21">
        <f>IF(AE18="","",IFERROR(TRIM(INDEX($A18:$X18,MATCH(Lists!$F$10,$A$1:$X$1,0))&amp;""),""))</f>
        <v/>
      </c>
      <c r="AN18" s="21">
        <f>IF(AE18="","",IF(OR(AM18="Paid",AM18="Partially refunded"),"Paid",IF(Z18="Yes","Paid (by hand)",IF(AM18&lt;&gt;"",AM18,"Unpaid"))))</f>
        <v/>
      </c>
      <c r="AO18" s="21">
        <f>IF(AD18=1,COUNTIFS($AE$2:$AE$301,"&lt;"&amp;AE18,$AD$2:$AD$301,1)+COUNTIF($AE$2:AE18,AE18),"")</f>
        <v/>
      </c>
    </row>
    <row r="19">
      <c r="Y19" s="19" t="n"/>
      <c r="Z19" s="22" t="n"/>
      <c r="AA19" s="22" t="n"/>
      <c r="AB19" s="22" t="n"/>
      <c r="AC19" s="19" t="n"/>
      <c r="AD19" s="21">
        <f>IF(AE19="",0,1)</f>
        <v/>
      </c>
      <c r="AE19" s="21">
        <f>IFERROR(TRIM(INDEX($A19:$X19,MATCH(Lists!$F$2,$A$1:$X$1,0))&amp;""),"")</f>
        <v/>
      </c>
      <c r="AF19" s="21">
        <f>IF(AE19="","",IFERROR(TRIM(INDEX($A19:$X19,MATCH(Lists!$F$3,$A$1:$X$1,0))&amp;""),""))</f>
        <v/>
      </c>
      <c r="AG19" s="21">
        <f>IF(AE19="","",IFERROR(TRIM(INDEX($A19:$X19,MATCH(Lists!$F$4,$A$1:$X$1,0))&amp;""),""))</f>
        <v/>
      </c>
      <c r="AH19" s="21">
        <f>IF(AE19="","",LOWER(IFERROR(TRIM(INDEX($A19:$X19,MATCH(Lists!$F$5,$A$1:$X$1,0))&amp;""),"")))</f>
        <v/>
      </c>
      <c r="AI19" s="21">
        <f>IF(AE19="","",IFERROR(TRIM(INDEX($A19:$X19,MATCH(Lists!$F$6,$A$1:$X$1,0))&amp;""),""))</f>
        <v/>
      </c>
      <c r="AJ19" s="21">
        <f>IF(AE19="","",IF(LEFT(IFERROR(TRIM(INDEX($A19:$X19,MATCH(Lists!$F$7,$A$1:$X$1,0))&amp;""),""),3)="Yes","Yes","No"))</f>
        <v/>
      </c>
      <c r="AK19" s="21">
        <f>IF(AE19="","",IFERROR(TRIM(INDEX($A19:$X19,MATCH(Lists!$F$8,$A$1:$X$1,0))&amp;""),""))</f>
        <v/>
      </c>
      <c r="AL19" s="21">
        <f>IF(AE19="","",IFERROR(IF(TRIM(INDEX($A19:$X19,MATCH(Lists!$F$9,$A$1:$X$1,0))&amp;"")="","",VALUE(TRIM(INDEX($A19:$X19,MATCH(Lists!$F$9,$A$1:$X$1,0))&amp;""))),""))</f>
        <v/>
      </c>
      <c r="AM19" s="21">
        <f>IF(AE19="","",IFERROR(TRIM(INDEX($A19:$X19,MATCH(Lists!$F$10,$A$1:$X$1,0))&amp;""),""))</f>
        <v/>
      </c>
      <c r="AN19" s="21">
        <f>IF(AE19="","",IF(OR(AM19="Paid",AM19="Partially refunded"),"Paid",IF(Z19="Yes","Paid (by hand)",IF(AM19&lt;&gt;"",AM19,"Unpaid"))))</f>
        <v/>
      </c>
      <c r="AO19" s="21">
        <f>IF(AD19=1,COUNTIFS($AE$2:$AE$301,"&lt;"&amp;AE19,$AD$2:$AD$301,1)+COUNTIF($AE$2:AE19,AE19),"")</f>
        <v/>
      </c>
    </row>
    <row r="20">
      <c r="Y20" s="19" t="n"/>
      <c r="Z20" s="22" t="n"/>
      <c r="AA20" s="22" t="n"/>
      <c r="AB20" s="22" t="n"/>
      <c r="AC20" s="19" t="n"/>
      <c r="AD20" s="21">
        <f>IF(AE20="",0,1)</f>
        <v/>
      </c>
      <c r="AE20" s="21">
        <f>IFERROR(TRIM(INDEX($A20:$X20,MATCH(Lists!$F$2,$A$1:$X$1,0))&amp;""),"")</f>
        <v/>
      </c>
      <c r="AF20" s="21">
        <f>IF(AE20="","",IFERROR(TRIM(INDEX($A20:$X20,MATCH(Lists!$F$3,$A$1:$X$1,0))&amp;""),""))</f>
        <v/>
      </c>
      <c r="AG20" s="21">
        <f>IF(AE20="","",IFERROR(TRIM(INDEX($A20:$X20,MATCH(Lists!$F$4,$A$1:$X$1,0))&amp;""),""))</f>
        <v/>
      </c>
      <c r="AH20" s="21">
        <f>IF(AE20="","",LOWER(IFERROR(TRIM(INDEX($A20:$X20,MATCH(Lists!$F$5,$A$1:$X$1,0))&amp;""),"")))</f>
        <v/>
      </c>
      <c r="AI20" s="21">
        <f>IF(AE20="","",IFERROR(TRIM(INDEX($A20:$X20,MATCH(Lists!$F$6,$A$1:$X$1,0))&amp;""),""))</f>
        <v/>
      </c>
      <c r="AJ20" s="21">
        <f>IF(AE20="","",IF(LEFT(IFERROR(TRIM(INDEX($A20:$X20,MATCH(Lists!$F$7,$A$1:$X$1,0))&amp;""),""),3)="Yes","Yes","No"))</f>
        <v/>
      </c>
      <c r="AK20" s="21">
        <f>IF(AE20="","",IFERROR(TRIM(INDEX($A20:$X20,MATCH(Lists!$F$8,$A$1:$X$1,0))&amp;""),""))</f>
        <v/>
      </c>
      <c r="AL20" s="21">
        <f>IF(AE20="","",IFERROR(IF(TRIM(INDEX($A20:$X20,MATCH(Lists!$F$9,$A$1:$X$1,0))&amp;"")="","",VALUE(TRIM(INDEX($A20:$X20,MATCH(Lists!$F$9,$A$1:$X$1,0))&amp;""))),""))</f>
        <v/>
      </c>
      <c r="AM20" s="21">
        <f>IF(AE20="","",IFERROR(TRIM(INDEX($A20:$X20,MATCH(Lists!$F$10,$A$1:$X$1,0))&amp;""),""))</f>
        <v/>
      </c>
      <c r="AN20" s="21">
        <f>IF(AE20="","",IF(OR(AM20="Paid",AM20="Partially refunded"),"Paid",IF(Z20="Yes","Paid (by hand)",IF(AM20&lt;&gt;"",AM20,"Unpaid"))))</f>
        <v/>
      </c>
      <c r="AO20" s="21">
        <f>IF(AD20=1,COUNTIFS($AE$2:$AE$301,"&lt;"&amp;AE20,$AD$2:$AD$301,1)+COUNTIF($AE$2:AE20,AE20),"")</f>
        <v/>
      </c>
    </row>
    <row r="21">
      <c r="Y21" s="19" t="n"/>
      <c r="Z21" s="22" t="n"/>
      <c r="AA21" s="22" t="n"/>
      <c r="AB21" s="22" t="n"/>
      <c r="AC21" s="19" t="n"/>
      <c r="AD21" s="21">
        <f>IF(AE21="",0,1)</f>
        <v/>
      </c>
      <c r="AE21" s="21">
        <f>IFERROR(TRIM(INDEX($A21:$X21,MATCH(Lists!$F$2,$A$1:$X$1,0))&amp;""),"")</f>
        <v/>
      </c>
      <c r="AF21" s="21">
        <f>IF(AE21="","",IFERROR(TRIM(INDEX($A21:$X21,MATCH(Lists!$F$3,$A$1:$X$1,0))&amp;""),""))</f>
        <v/>
      </c>
      <c r="AG21" s="21">
        <f>IF(AE21="","",IFERROR(TRIM(INDEX($A21:$X21,MATCH(Lists!$F$4,$A$1:$X$1,0))&amp;""),""))</f>
        <v/>
      </c>
      <c r="AH21" s="21">
        <f>IF(AE21="","",LOWER(IFERROR(TRIM(INDEX($A21:$X21,MATCH(Lists!$F$5,$A$1:$X$1,0))&amp;""),"")))</f>
        <v/>
      </c>
      <c r="AI21" s="21">
        <f>IF(AE21="","",IFERROR(TRIM(INDEX($A21:$X21,MATCH(Lists!$F$6,$A$1:$X$1,0))&amp;""),""))</f>
        <v/>
      </c>
      <c r="AJ21" s="21">
        <f>IF(AE21="","",IF(LEFT(IFERROR(TRIM(INDEX($A21:$X21,MATCH(Lists!$F$7,$A$1:$X$1,0))&amp;""),""),3)="Yes","Yes","No"))</f>
        <v/>
      </c>
      <c r="AK21" s="21">
        <f>IF(AE21="","",IFERROR(TRIM(INDEX($A21:$X21,MATCH(Lists!$F$8,$A$1:$X$1,0))&amp;""),""))</f>
        <v/>
      </c>
      <c r="AL21" s="21">
        <f>IF(AE21="","",IFERROR(IF(TRIM(INDEX($A21:$X21,MATCH(Lists!$F$9,$A$1:$X$1,0))&amp;"")="","",VALUE(TRIM(INDEX($A21:$X21,MATCH(Lists!$F$9,$A$1:$X$1,0))&amp;""))),""))</f>
        <v/>
      </c>
      <c r="AM21" s="21">
        <f>IF(AE21="","",IFERROR(TRIM(INDEX($A21:$X21,MATCH(Lists!$F$10,$A$1:$X$1,0))&amp;""),""))</f>
        <v/>
      </c>
      <c r="AN21" s="21">
        <f>IF(AE21="","",IF(OR(AM21="Paid",AM21="Partially refunded"),"Paid",IF(Z21="Yes","Paid (by hand)",IF(AM21&lt;&gt;"",AM21,"Unpaid"))))</f>
        <v/>
      </c>
      <c r="AO21" s="21">
        <f>IF(AD21=1,COUNTIFS($AE$2:$AE$301,"&lt;"&amp;AE21,$AD$2:$AD$301,1)+COUNTIF($AE$2:AE21,AE21),"")</f>
        <v/>
      </c>
    </row>
    <row r="22">
      <c r="Y22" s="19" t="n"/>
      <c r="Z22" s="22" t="n"/>
      <c r="AA22" s="22" t="n"/>
      <c r="AB22" s="22" t="n"/>
      <c r="AC22" s="19" t="n"/>
      <c r="AD22" s="21">
        <f>IF(AE22="",0,1)</f>
        <v/>
      </c>
      <c r="AE22" s="21">
        <f>IFERROR(TRIM(INDEX($A22:$X22,MATCH(Lists!$F$2,$A$1:$X$1,0))&amp;""),"")</f>
        <v/>
      </c>
      <c r="AF22" s="21">
        <f>IF(AE22="","",IFERROR(TRIM(INDEX($A22:$X22,MATCH(Lists!$F$3,$A$1:$X$1,0))&amp;""),""))</f>
        <v/>
      </c>
      <c r="AG22" s="21">
        <f>IF(AE22="","",IFERROR(TRIM(INDEX($A22:$X22,MATCH(Lists!$F$4,$A$1:$X$1,0))&amp;""),""))</f>
        <v/>
      </c>
      <c r="AH22" s="21">
        <f>IF(AE22="","",LOWER(IFERROR(TRIM(INDEX($A22:$X22,MATCH(Lists!$F$5,$A$1:$X$1,0))&amp;""),"")))</f>
        <v/>
      </c>
      <c r="AI22" s="21">
        <f>IF(AE22="","",IFERROR(TRIM(INDEX($A22:$X22,MATCH(Lists!$F$6,$A$1:$X$1,0))&amp;""),""))</f>
        <v/>
      </c>
      <c r="AJ22" s="21">
        <f>IF(AE22="","",IF(LEFT(IFERROR(TRIM(INDEX($A22:$X22,MATCH(Lists!$F$7,$A$1:$X$1,0))&amp;""),""),3)="Yes","Yes","No"))</f>
        <v/>
      </c>
      <c r="AK22" s="21">
        <f>IF(AE22="","",IFERROR(TRIM(INDEX($A22:$X22,MATCH(Lists!$F$8,$A$1:$X$1,0))&amp;""),""))</f>
        <v/>
      </c>
      <c r="AL22" s="21">
        <f>IF(AE22="","",IFERROR(IF(TRIM(INDEX($A22:$X22,MATCH(Lists!$F$9,$A$1:$X$1,0))&amp;"")="","",VALUE(TRIM(INDEX($A22:$X22,MATCH(Lists!$F$9,$A$1:$X$1,0))&amp;""))),""))</f>
        <v/>
      </c>
      <c r="AM22" s="21">
        <f>IF(AE22="","",IFERROR(TRIM(INDEX($A22:$X22,MATCH(Lists!$F$10,$A$1:$X$1,0))&amp;""),""))</f>
        <v/>
      </c>
      <c r="AN22" s="21">
        <f>IF(AE22="","",IF(OR(AM22="Paid",AM22="Partially refunded"),"Paid",IF(Z22="Yes","Paid (by hand)",IF(AM22&lt;&gt;"",AM22,"Unpaid"))))</f>
        <v/>
      </c>
      <c r="AO22" s="21">
        <f>IF(AD22=1,COUNTIFS($AE$2:$AE$301,"&lt;"&amp;AE22,$AD$2:$AD$301,1)+COUNTIF($AE$2:AE22,AE22),"")</f>
        <v/>
      </c>
    </row>
    <row r="23">
      <c r="Y23" s="19" t="n"/>
      <c r="Z23" s="22" t="n"/>
      <c r="AA23" s="22" t="n"/>
      <c r="AB23" s="22" t="n"/>
      <c r="AC23" s="19" t="n"/>
      <c r="AD23" s="21">
        <f>IF(AE23="",0,1)</f>
        <v/>
      </c>
      <c r="AE23" s="21">
        <f>IFERROR(TRIM(INDEX($A23:$X23,MATCH(Lists!$F$2,$A$1:$X$1,0))&amp;""),"")</f>
        <v/>
      </c>
      <c r="AF23" s="21">
        <f>IF(AE23="","",IFERROR(TRIM(INDEX($A23:$X23,MATCH(Lists!$F$3,$A$1:$X$1,0))&amp;""),""))</f>
        <v/>
      </c>
      <c r="AG23" s="21">
        <f>IF(AE23="","",IFERROR(TRIM(INDEX($A23:$X23,MATCH(Lists!$F$4,$A$1:$X$1,0))&amp;""),""))</f>
        <v/>
      </c>
      <c r="AH23" s="21">
        <f>IF(AE23="","",LOWER(IFERROR(TRIM(INDEX($A23:$X23,MATCH(Lists!$F$5,$A$1:$X$1,0))&amp;""),"")))</f>
        <v/>
      </c>
      <c r="AI23" s="21">
        <f>IF(AE23="","",IFERROR(TRIM(INDEX($A23:$X23,MATCH(Lists!$F$6,$A$1:$X$1,0))&amp;""),""))</f>
        <v/>
      </c>
      <c r="AJ23" s="21">
        <f>IF(AE23="","",IF(LEFT(IFERROR(TRIM(INDEX($A23:$X23,MATCH(Lists!$F$7,$A$1:$X$1,0))&amp;""),""),3)="Yes","Yes","No"))</f>
        <v/>
      </c>
      <c r="AK23" s="21">
        <f>IF(AE23="","",IFERROR(TRIM(INDEX($A23:$X23,MATCH(Lists!$F$8,$A$1:$X$1,0))&amp;""),""))</f>
        <v/>
      </c>
      <c r="AL23" s="21">
        <f>IF(AE23="","",IFERROR(IF(TRIM(INDEX($A23:$X23,MATCH(Lists!$F$9,$A$1:$X$1,0))&amp;"")="","",VALUE(TRIM(INDEX($A23:$X23,MATCH(Lists!$F$9,$A$1:$X$1,0))&amp;""))),""))</f>
        <v/>
      </c>
      <c r="AM23" s="21">
        <f>IF(AE23="","",IFERROR(TRIM(INDEX($A23:$X23,MATCH(Lists!$F$10,$A$1:$X$1,0))&amp;""),""))</f>
        <v/>
      </c>
      <c r="AN23" s="21">
        <f>IF(AE23="","",IF(OR(AM23="Paid",AM23="Partially refunded"),"Paid",IF(Z23="Yes","Paid (by hand)",IF(AM23&lt;&gt;"",AM23,"Unpaid"))))</f>
        <v/>
      </c>
      <c r="AO23" s="21">
        <f>IF(AD23=1,COUNTIFS($AE$2:$AE$301,"&lt;"&amp;AE23,$AD$2:$AD$301,1)+COUNTIF($AE$2:AE23,AE23),"")</f>
        <v/>
      </c>
    </row>
    <row r="24">
      <c r="Y24" s="19" t="n"/>
      <c r="Z24" s="22" t="n"/>
      <c r="AA24" s="22" t="n"/>
      <c r="AB24" s="22" t="n"/>
      <c r="AC24" s="19" t="n"/>
      <c r="AD24" s="21">
        <f>IF(AE24="",0,1)</f>
        <v/>
      </c>
      <c r="AE24" s="21">
        <f>IFERROR(TRIM(INDEX($A24:$X24,MATCH(Lists!$F$2,$A$1:$X$1,0))&amp;""),"")</f>
        <v/>
      </c>
      <c r="AF24" s="21">
        <f>IF(AE24="","",IFERROR(TRIM(INDEX($A24:$X24,MATCH(Lists!$F$3,$A$1:$X$1,0))&amp;""),""))</f>
        <v/>
      </c>
      <c r="AG24" s="21">
        <f>IF(AE24="","",IFERROR(TRIM(INDEX($A24:$X24,MATCH(Lists!$F$4,$A$1:$X$1,0))&amp;""),""))</f>
        <v/>
      </c>
      <c r="AH24" s="21">
        <f>IF(AE24="","",LOWER(IFERROR(TRIM(INDEX($A24:$X24,MATCH(Lists!$F$5,$A$1:$X$1,0))&amp;""),"")))</f>
        <v/>
      </c>
      <c r="AI24" s="21">
        <f>IF(AE24="","",IFERROR(TRIM(INDEX($A24:$X24,MATCH(Lists!$F$6,$A$1:$X$1,0))&amp;""),""))</f>
        <v/>
      </c>
      <c r="AJ24" s="21">
        <f>IF(AE24="","",IF(LEFT(IFERROR(TRIM(INDEX($A24:$X24,MATCH(Lists!$F$7,$A$1:$X$1,0))&amp;""),""),3)="Yes","Yes","No"))</f>
        <v/>
      </c>
      <c r="AK24" s="21">
        <f>IF(AE24="","",IFERROR(TRIM(INDEX($A24:$X24,MATCH(Lists!$F$8,$A$1:$X$1,0))&amp;""),""))</f>
        <v/>
      </c>
      <c r="AL24" s="21">
        <f>IF(AE24="","",IFERROR(IF(TRIM(INDEX($A24:$X24,MATCH(Lists!$F$9,$A$1:$X$1,0))&amp;"")="","",VALUE(TRIM(INDEX($A24:$X24,MATCH(Lists!$F$9,$A$1:$X$1,0))&amp;""))),""))</f>
        <v/>
      </c>
      <c r="AM24" s="21">
        <f>IF(AE24="","",IFERROR(TRIM(INDEX($A24:$X24,MATCH(Lists!$F$10,$A$1:$X$1,0))&amp;""),""))</f>
        <v/>
      </c>
      <c r="AN24" s="21">
        <f>IF(AE24="","",IF(OR(AM24="Paid",AM24="Partially refunded"),"Paid",IF(Z24="Yes","Paid (by hand)",IF(AM24&lt;&gt;"",AM24,"Unpaid"))))</f>
        <v/>
      </c>
      <c r="AO24" s="21">
        <f>IF(AD24=1,COUNTIFS($AE$2:$AE$301,"&lt;"&amp;AE24,$AD$2:$AD$301,1)+COUNTIF($AE$2:AE24,AE24),"")</f>
        <v/>
      </c>
    </row>
    <row r="25">
      <c r="Y25" s="19" t="n"/>
      <c r="Z25" s="22" t="n"/>
      <c r="AA25" s="22" t="n"/>
      <c r="AB25" s="22" t="n"/>
      <c r="AC25" s="19" t="n"/>
      <c r="AD25" s="21">
        <f>IF(AE25="",0,1)</f>
        <v/>
      </c>
      <c r="AE25" s="21">
        <f>IFERROR(TRIM(INDEX($A25:$X25,MATCH(Lists!$F$2,$A$1:$X$1,0))&amp;""),"")</f>
        <v/>
      </c>
      <c r="AF25" s="21">
        <f>IF(AE25="","",IFERROR(TRIM(INDEX($A25:$X25,MATCH(Lists!$F$3,$A$1:$X$1,0))&amp;""),""))</f>
        <v/>
      </c>
      <c r="AG25" s="21">
        <f>IF(AE25="","",IFERROR(TRIM(INDEX($A25:$X25,MATCH(Lists!$F$4,$A$1:$X$1,0))&amp;""),""))</f>
        <v/>
      </c>
      <c r="AH25" s="21">
        <f>IF(AE25="","",LOWER(IFERROR(TRIM(INDEX($A25:$X25,MATCH(Lists!$F$5,$A$1:$X$1,0))&amp;""),"")))</f>
        <v/>
      </c>
      <c r="AI25" s="21">
        <f>IF(AE25="","",IFERROR(TRIM(INDEX($A25:$X25,MATCH(Lists!$F$6,$A$1:$X$1,0))&amp;""),""))</f>
        <v/>
      </c>
      <c r="AJ25" s="21">
        <f>IF(AE25="","",IF(LEFT(IFERROR(TRIM(INDEX($A25:$X25,MATCH(Lists!$F$7,$A$1:$X$1,0))&amp;""),""),3)="Yes","Yes","No"))</f>
        <v/>
      </c>
      <c r="AK25" s="21">
        <f>IF(AE25="","",IFERROR(TRIM(INDEX($A25:$X25,MATCH(Lists!$F$8,$A$1:$X$1,0))&amp;""),""))</f>
        <v/>
      </c>
      <c r="AL25" s="21">
        <f>IF(AE25="","",IFERROR(IF(TRIM(INDEX($A25:$X25,MATCH(Lists!$F$9,$A$1:$X$1,0))&amp;"")="","",VALUE(TRIM(INDEX($A25:$X25,MATCH(Lists!$F$9,$A$1:$X$1,0))&amp;""))),""))</f>
        <v/>
      </c>
      <c r="AM25" s="21">
        <f>IF(AE25="","",IFERROR(TRIM(INDEX($A25:$X25,MATCH(Lists!$F$10,$A$1:$X$1,0))&amp;""),""))</f>
        <v/>
      </c>
      <c r="AN25" s="21">
        <f>IF(AE25="","",IF(OR(AM25="Paid",AM25="Partially refunded"),"Paid",IF(Z25="Yes","Paid (by hand)",IF(AM25&lt;&gt;"",AM25,"Unpaid"))))</f>
        <v/>
      </c>
      <c r="AO25" s="21">
        <f>IF(AD25=1,COUNTIFS($AE$2:$AE$301,"&lt;"&amp;AE25,$AD$2:$AD$301,1)+COUNTIF($AE$2:AE25,AE25),"")</f>
        <v/>
      </c>
    </row>
    <row r="26">
      <c r="Y26" s="19" t="n"/>
      <c r="Z26" s="22" t="n"/>
      <c r="AA26" s="22" t="n"/>
      <c r="AB26" s="22" t="n"/>
      <c r="AC26" s="19" t="n"/>
      <c r="AD26" s="21">
        <f>IF(AE26="",0,1)</f>
        <v/>
      </c>
      <c r="AE26" s="21">
        <f>IFERROR(TRIM(INDEX($A26:$X26,MATCH(Lists!$F$2,$A$1:$X$1,0))&amp;""),"")</f>
        <v/>
      </c>
      <c r="AF26" s="21">
        <f>IF(AE26="","",IFERROR(TRIM(INDEX($A26:$X26,MATCH(Lists!$F$3,$A$1:$X$1,0))&amp;""),""))</f>
        <v/>
      </c>
      <c r="AG26" s="21">
        <f>IF(AE26="","",IFERROR(TRIM(INDEX($A26:$X26,MATCH(Lists!$F$4,$A$1:$X$1,0))&amp;""),""))</f>
        <v/>
      </c>
      <c r="AH26" s="21">
        <f>IF(AE26="","",LOWER(IFERROR(TRIM(INDEX($A26:$X26,MATCH(Lists!$F$5,$A$1:$X$1,0))&amp;""),"")))</f>
        <v/>
      </c>
      <c r="AI26" s="21">
        <f>IF(AE26="","",IFERROR(TRIM(INDEX($A26:$X26,MATCH(Lists!$F$6,$A$1:$X$1,0))&amp;""),""))</f>
        <v/>
      </c>
      <c r="AJ26" s="21">
        <f>IF(AE26="","",IF(LEFT(IFERROR(TRIM(INDEX($A26:$X26,MATCH(Lists!$F$7,$A$1:$X$1,0))&amp;""),""),3)="Yes","Yes","No"))</f>
        <v/>
      </c>
      <c r="AK26" s="21">
        <f>IF(AE26="","",IFERROR(TRIM(INDEX($A26:$X26,MATCH(Lists!$F$8,$A$1:$X$1,0))&amp;""),""))</f>
        <v/>
      </c>
      <c r="AL26" s="21">
        <f>IF(AE26="","",IFERROR(IF(TRIM(INDEX($A26:$X26,MATCH(Lists!$F$9,$A$1:$X$1,0))&amp;"")="","",VALUE(TRIM(INDEX($A26:$X26,MATCH(Lists!$F$9,$A$1:$X$1,0))&amp;""))),""))</f>
        <v/>
      </c>
      <c r="AM26" s="21">
        <f>IF(AE26="","",IFERROR(TRIM(INDEX($A26:$X26,MATCH(Lists!$F$10,$A$1:$X$1,0))&amp;""),""))</f>
        <v/>
      </c>
      <c r="AN26" s="21">
        <f>IF(AE26="","",IF(OR(AM26="Paid",AM26="Partially refunded"),"Paid",IF(Z26="Yes","Paid (by hand)",IF(AM26&lt;&gt;"",AM26,"Unpaid"))))</f>
        <v/>
      </c>
      <c r="AO26" s="21">
        <f>IF(AD26=1,COUNTIFS($AE$2:$AE$301,"&lt;"&amp;AE26,$AD$2:$AD$301,1)+COUNTIF($AE$2:AE26,AE26),"")</f>
        <v/>
      </c>
    </row>
    <row r="27">
      <c r="Y27" s="19" t="n"/>
      <c r="Z27" s="22" t="n"/>
      <c r="AA27" s="22" t="n"/>
      <c r="AB27" s="22" t="n"/>
      <c r="AC27" s="19" t="n"/>
      <c r="AD27" s="21">
        <f>IF(AE27="",0,1)</f>
        <v/>
      </c>
      <c r="AE27" s="21">
        <f>IFERROR(TRIM(INDEX($A27:$X27,MATCH(Lists!$F$2,$A$1:$X$1,0))&amp;""),"")</f>
        <v/>
      </c>
      <c r="AF27" s="21">
        <f>IF(AE27="","",IFERROR(TRIM(INDEX($A27:$X27,MATCH(Lists!$F$3,$A$1:$X$1,0))&amp;""),""))</f>
        <v/>
      </c>
      <c r="AG27" s="21">
        <f>IF(AE27="","",IFERROR(TRIM(INDEX($A27:$X27,MATCH(Lists!$F$4,$A$1:$X$1,0))&amp;""),""))</f>
        <v/>
      </c>
      <c r="AH27" s="21">
        <f>IF(AE27="","",LOWER(IFERROR(TRIM(INDEX($A27:$X27,MATCH(Lists!$F$5,$A$1:$X$1,0))&amp;""),"")))</f>
        <v/>
      </c>
      <c r="AI27" s="21">
        <f>IF(AE27="","",IFERROR(TRIM(INDEX($A27:$X27,MATCH(Lists!$F$6,$A$1:$X$1,0))&amp;""),""))</f>
        <v/>
      </c>
      <c r="AJ27" s="21">
        <f>IF(AE27="","",IF(LEFT(IFERROR(TRIM(INDEX($A27:$X27,MATCH(Lists!$F$7,$A$1:$X$1,0))&amp;""),""),3)="Yes","Yes","No"))</f>
        <v/>
      </c>
      <c r="AK27" s="21">
        <f>IF(AE27="","",IFERROR(TRIM(INDEX($A27:$X27,MATCH(Lists!$F$8,$A$1:$X$1,0))&amp;""),""))</f>
        <v/>
      </c>
      <c r="AL27" s="21">
        <f>IF(AE27="","",IFERROR(IF(TRIM(INDEX($A27:$X27,MATCH(Lists!$F$9,$A$1:$X$1,0))&amp;"")="","",VALUE(TRIM(INDEX($A27:$X27,MATCH(Lists!$F$9,$A$1:$X$1,0))&amp;""))),""))</f>
        <v/>
      </c>
      <c r="AM27" s="21">
        <f>IF(AE27="","",IFERROR(TRIM(INDEX($A27:$X27,MATCH(Lists!$F$10,$A$1:$X$1,0))&amp;""),""))</f>
        <v/>
      </c>
      <c r="AN27" s="21">
        <f>IF(AE27="","",IF(OR(AM27="Paid",AM27="Partially refunded"),"Paid",IF(Z27="Yes","Paid (by hand)",IF(AM27&lt;&gt;"",AM27,"Unpaid"))))</f>
        <v/>
      </c>
      <c r="AO27" s="21">
        <f>IF(AD27=1,COUNTIFS($AE$2:$AE$301,"&lt;"&amp;AE27,$AD$2:$AD$301,1)+COUNTIF($AE$2:AE27,AE27),"")</f>
        <v/>
      </c>
    </row>
    <row r="28">
      <c r="Y28" s="19" t="n"/>
      <c r="Z28" s="22" t="n"/>
      <c r="AA28" s="22" t="n"/>
      <c r="AB28" s="22" t="n"/>
      <c r="AC28" s="19" t="n"/>
      <c r="AD28" s="21">
        <f>IF(AE28="",0,1)</f>
        <v/>
      </c>
      <c r="AE28" s="21">
        <f>IFERROR(TRIM(INDEX($A28:$X28,MATCH(Lists!$F$2,$A$1:$X$1,0))&amp;""),"")</f>
        <v/>
      </c>
      <c r="AF28" s="21">
        <f>IF(AE28="","",IFERROR(TRIM(INDEX($A28:$X28,MATCH(Lists!$F$3,$A$1:$X$1,0))&amp;""),""))</f>
        <v/>
      </c>
      <c r="AG28" s="21">
        <f>IF(AE28="","",IFERROR(TRIM(INDEX($A28:$X28,MATCH(Lists!$F$4,$A$1:$X$1,0))&amp;""),""))</f>
        <v/>
      </c>
      <c r="AH28" s="21">
        <f>IF(AE28="","",LOWER(IFERROR(TRIM(INDEX($A28:$X28,MATCH(Lists!$F$5,$A$1:$X$1,0))&amp;""),"")))</f>
        <v/>
      </c>
      <c r="AI28" s="21">
        <f>IF(AE28="","",IFERROR(TRIM(INDEX($A28:$X28,MATCH(Lists!$F$6,$A$1:$X$1,0))&amp;""),""))</f>
        <v/>
      </c>
      <c r="AJ28" s="21">
        <f>IF(AE28="","",IF(LEFT(IFERROR(TRIM(INDEX($A28:$X28,MATCH(Lists!$F$7,$A$1:$X$1,0))&amp;""),""),3)="Yes","Yes","No"))</f>
        <v/>
      </c>
      <c r="AK28" s="21">
        <f>IF(AE28="","",IFERROR(TRIM(INDEX($A28:$X28,MATCH(Lists!$F$8,$A$1:$X$1,0))&amp;""),""))</f>
        <v/>
      </c>
      <c r="AL28" s="21">
        <f>IF(AE28="","",IFERROR(IF(TRIM(INDEX($A28:$X28,MATCH(Lists!$F$9,$A$1:$X$1,0))&amp;"")="","",VALUE(TRIM(INDEX($A28:$X28,MATCH(Lists!$F$9,$A$1:$X$1,0))&amp;""))),""))</f>
        <v/>
      </c>
      <c r="AM28" s="21">
        <f>IF(AE28="","",IFERROR(TRIM(INDEX($A28:$X28,MATCH(Lists!$F$10,$A$1:$X$1,0))&amp;""),""))</f>
        <v/>
      </c>
      <c r="AN28" s="21">
        <f>IF(AE28="","",IF(OR(AM28="Paid",AM28="Partially refunded"),"Paid",IF(Z28="Yes","Paid (by hand)",IF(AM28&lt;&gt;"",AM28,"Unpaid"))))</f>
        <v/>
      </c>
      <c r="AO28" s="21">
        <f>IF(AD28=1,COUNTIFS($AE$2:$AE$301,"&lt;"&amp;AE28,$AD$2:$AD$301,1)+COUNTIF($AE$2:AE28,AE28),"")</f>
        <v/>
      </c>
    </row>
    <row r="29">
      <c r="Y29" s="19" t="n"/>
      <c r="Z29" s="22" t="n"/>
      <c r="AA29" s="22" t="n"/>
      <c r="AB29" s="22" t="n"/>
      <c r="AC29" s="19" t="n"/>
      <c r="AD29" s="21">
        <f>IF(AE29="",0,1)</f>
        <v/>
      </c>
      <c r="AE29" s="21">
        <f>IFERROR(TRIM(INDEX($A29:$X29,MATCH(Lists!$F$2,$A$1:$X$1,0))&amp;""),"")</f>
        <v/>
      </c>
      <c r="AF29" s="21">
        <f>IF(AE29="","",IFERROR(TRIM(INDEX($A29:$X29,MATCH(Lists!$F$3,$A$1:$X$1,0))&amp;""),""))</f>
        <v/>
      </c>
      <c r="AG29" s="21">
        <f>IF(AE29="","",IFERROR(TRIM(INDEX($A29:$X29,MATCH(Lists!$F$4,$A$1:$X$1,0))&amp;""),""))</f>
        <v/>
      </c>
      <c r="AH29" s="21">
        <f>IF(AE29="","",LOWER(IFERROR(TRIM(INDEX($A29:$X29,MATCH(Lists!$F$5,$A$1:$X$1,0))&amp;""),"")))</f>
        <v/>
      </c>
      <c r="AI29" s="21">
        <f>IF(AE29="","",IFERROR(TRIM(INDEX($A29:$X29,MATCH(Lists!$F$6,$A$1:$X$1,0))&amp;""),""))</f>
        <v/>
      </c>
      <c r="AJ29" s="21">
        <f>IF(AE29="","",IF(LEFT(IFERROR(TRIM(INDEX($A29:$X29,MATCH(Lists!$F$7,$A$1:$X$1,0))&amp;""),""),3)="Yes","Yes","No"))</f>
        <v/>
      </c>
      <c r="AK29" s="21">
        <f>IF(AE29="","",IFERROR(TRIM(INDEX($A29:$X29,MATCH(Lists!$F$8,$A$1:$X$1,0))&amp;""),""))</f>
        <v/>
      </c>
      <c r="AL29" s="21">
        <f>IF(AE29="","",IFERROR(IF(TRIM(INDEX($A29:$X29,MATCH(Lists!$F$9,$A$1:$X$1,0))&amp;"")="","",VALUE(TRIM(INDEX($A29:$X29,MATCH(Lists!$F$9,$A$1:$X$1,0))&amp;""))),""))</f>
        <v/>
      </c>
      <c r="AM29" s="21">
        <f>IF(AE29="","",IFERROR(TRIM(INDEX($A29:$X29,MATCH(Lists!$F$10,$A$1:$X$1,0))&amp;""),""))</f>
        <v/>
      </c>
      <c r="AN29" s="21">
        <f>IF(AE29="","",IF(OR(AM29="Paid",AM29="Partially refunded"),"Paid",IF(Z29="Yes","Paid (by hand)",IF(AM29&lt;&gt;"",AM29,"Unpaid"))))</f>
        <v/>
      </c>
      <c r="AO29" s="21">
        <f>IF(AD29=1,COUNTIFS($AE$2:$AE$301,"&lt;"&amp;AE29,$AD$2:$AD$301,1)+COUNTIF($AE$2:AE29,AE29),"")</f>
        <v/>
      </c>
    </row>
    <row r="30">
      <c r="Y30" s="19" t="n"/>
      <c r="Z30" s="22" t="n"/>
      <c r="AA30" s="22" t="n"/>
      <c r="AB30" s="22" t="n"/>
      <c r="AC30" s="19" t="n"/>
      <c r="AD30" s="21">
        <f>IF(AE30="",0,1)</f>
        <v/>
      </c>
      <c r="AE30" s="21">
        <f>IFERROR(TRIM(INDEX($A30:$X30,MATCH(Lists!$F$2,$A$1:$X$1,0))&amp;""),"")</f>
        <v/>
      </c>
      <c r="AF30" s="21">
        <f>IF(AE30="","",IFERROR(TRIM(INDEX($A30:$X30,MATCH(Lists!$F$3,$A$1:$X$1,0))&amp;""),""))</f>
        <v/>
      </c>
      <c r="AG30" s="21">
        <f>IF(AE30="","",IFERROR(TRIM(INDEX($A30:$X30,MATCH(Lists!$F$4,$A$1:$X$1,0))&amp;""),""))</f>
        <v/>
      </c>
      <c r="AH30" s="21">
        <f>IF(AE30="","",LOWER(IFERROR(TRIM(INDEX($A30:$X30,MATCH(Lists!$F$5,$A$1:$X$1,0))&amp;""),"")))</f>
        <v/>
      </c>
      <c r="AI30" s="21">
        <f>IF(AE30="","",IFERROR(TRIM(INDEX($A30:$X30,MATCH(Lists!$F$6,$A$1:$X$1,0))&amp;""),""))</f>
        <v/>
      </c>
      <c r="AJ30" s="21">
        <f>IF(AE30="","",IF(LEFT(IFERROR(TRIM(INDEX($A30:$X30,MATCH(Lists!$F$7,$A$1:$X$1,0))&amp;""),""),3)="Yes","Yes","No"))</f>
        <v/>
      </c>
      <c r="AK30" s="21">
        <f>IF(AE30="","",IFERROR(TRIM(INDEX($A30:$X30,MATCH(Lists!$F$8,$A$1:$X$1,0))&amp;""),""))</f>
        <v/>
      </c>
      <c r="AL30" s="21">
        <f>IF(AE30="","",IFERROR(IF(TRIM(INDEX($A30:$X30,MATCH(Lists!$F$9,$A$1:$X$1,0))&amp;"")="","",VALUE(TRIM(INDEX($A30:$X30,MATCH(Lists!$F$9,$A$1:$X$1,0))&amp;""))),""))</f>
        <v/>
      </c>
      <c r="AM30" s="21">
        <f>IF(AE30="","",IFERROR(TRIM(INDEX($A30:$X30,MATCH(Lists!$F$10,$A$1:$X$1,0))&amp;""),""))</f>
        <v/>
      </c>
      <c r="AN30" s="21">
        <f>IF(AE30="","",IF(OR(AM30="Paid",AM30="Partially refunded"),"Paid",IF(Z30="Yes","Paid (by hand)",IF(AM30&lt;&gt;"",AM30,"Unpaid"))))</f>
        <v/>
      </c>
      <c r="AO30" s="21">
        <f>IF(AD30=1,COUNTIFS($AE$2:$AE$301,"&lt;"&amp;AE30,$AD$2:$AD$301,1)+COUNTIF($AE$2:AE30,AE30),"")</f>
        <v/>
      </c>
    </row>
    <row r="31">
      <c r="Y31" s="19" t="n"/>
      <c r="Z31" s="22" t="n"/>
      <c r="AA31" s="22" t="n"/>
      <c r="AB31" s="22" t="n"/>
      <c r="AC31" s="19" t="n"/>
      <c r="AD31" s="21">
        <f>IF(AE31="",0,1)</f>
        <v/>
      </c>
      <c r="AE31" s="21">
        <f>IFERROR(TRIM(INDEX($A31:$X31,MATCH(Lists!$F$2,$A$1:$X$1,0))&amp;""),"")</f>
        <v/>
      </c>
      <c r="AF31" s="21">
        <f>IF(AE31="","",IFERROR(TRIM(INDEX($A31:$X31,MATCH(Lists!$F$3,$A$1:$X$1,0))&amp;""),""))</f>
        <v/>
      </c>
      <c r="AG31" s="21">
        <f>IF(AE31="","",IFERROR(TRIM(INDEX($A31:$X31,MATCH(Lists!$F$4,$A$1:$X$1,0))&amp;""),""))</f>
        <v/>
      </c>
      <c r="AH31" s="21">
        <f>IF(AE31="","",LOWER(IFERROR(TRIM(INDEX($A31:$X31,MATCH(Lists!$F$5,$A$1:$X$1,0))&amp;""),"")))</f>
        <v/>
      </c>
      <c r="AI31" s="21">
        <f>IF(AE31="","",IFERROR(TRIM(INDEX($A31:$X31,MATCH(Lists!$F$6,$A$1:$X$1,0))&amp;""),""))</f>
        <v/>
      </c>
      <c r="AJ31" s="21">
        <f>IF(AE31="","",IF(LEFT(IFERROR(TRIM(INDEX($A31:$X31,MATCH(Lists!$F$7,$A$1:$X$1,0))&amp;""),""),3)="Yes","Yes","No"))</f>
        <v/>
      </c>
      <c r="AK31" s="21">
        <f>IF(AE31="","",IFERROR(TRIM(INDEX($A31:$X31,MATCH(Lists!$F$8,$A$1:$X$1,0))&amp;""),""))</f>
        <v/>
      </c>
      <c r="AL31" s="21">
        <f>IF(AE31="","",IFERROR(IF(TRIM(INDEX($A31:$X31,MATCH(Lists!$F$9,$A$1:$X$1,0))&amp;"")="","",VALUE(TRIM(INDEX($A31:$X31,MATCH(Lists!$F$9,$A$1:$X$1,0))&amp;""))),""))</f>
        <v/>
      </c>
      <c r="AM31" s="21">
        <f>IF(AE31="","",IFERROR(TRIM(INDEX($A31:$X31,MATCH(Lists!$F$10,$A$1:$X$1,0))&amp;""),""))</f>
        <v/>
      </c>
      <c r="AN31" s="21">
        <f>IF(AE31="","",IF(OR(AM31="Paid",AM31="Partially refunded"),"Paid",IF(Z31="Yes","Paid (by hand)",IF(AM31&lt;&gt;"",AM31,"Unpaid"))))</f>
        <v/>
      </c>
      <c r="AO31" s="21">
        <f>IF(AD31=1,COUNTIFS($AE$2:$AE$301,"&lt;"&amp;AE31,$AD$2:$AD$301,1)+COUNTIF($AE$2:AE31,AE31),"")</f>
        <v/>
      </c>
    </row>
    <row r="32">
      <c r="Y32" s="19" t="n"/>
      <c r="Z32" s="22" t="n"/>
      <c r="AA32" s="22" t="n"/>
      <c r="AB32" s="22" t="n"/>
      <c r="AC32" s="19" t="n"/>
      <c r="AD32" s="21">
        <f>IF(AE32="",0,1)</f>
        <v/>
      </c>
      <c r="AE32" s="21">
        <f>IFERROR(TRIM(INDEX($A32:$X32,MATCH(Lists!$F$2,$A$1:$X$1,0))&amp;""),"")</f>
        <v/>
      </c>
      <c r="AF32" s="21">
        <f>IF(AE32="","",IFERROR(TRIM(INDEX($A32:$X32,MATCH(Lists!$F$3,$A$1:$X$1,0))&amp;""),""))</f>
        <v/>
      </c>
      <c r="AG32" s="21">
        <f>IF(AE32="","",IFERROR(TRIM(INDEX($A32:$X32,MATCH(Lists!$F$4,$A$1:$X$1,0))&amp;""),""))</f>
        <v/>
      </c>
      <c r="AH32" s="21">
        <f>IF(AE32="","",LOWER(IFERROR(TRIM(INDEX($A32:$X32,MATCH(Lists!$F$5,$A$1:$X$1,0))&amp;""),"")))</f>
        <v/>
      </c>
      <c r="AI32" s="21">
        <f>IF(AE32="","",IFERROR(TRIM(INDEX($A32:$X32,MATCH(Lists!$F$6,$A$1:$X$1,0))&amp;""),""))</f>
        <v/>
      </c>
      <c r="AJ32" s="21">
        <f>IF(AE32="","",IF(LEFT(IFERROR(TRIM(INDEX($A32:$X32,MATCH(Lists!$F$7,$A$1:$X$1,0))&amp;""),""),3)="Yes","Yes","No"))</f>
        <v/>
      </c>
      <c r="AK32" s="21">
        <f>IF(AE32="","",IFERROR(TRIM(INDEX($A32:$X32,MATCH(Lists!$F$8,$A$1:$X$1,0))&amp;""),""))</f>
        <v/>
      </c>
      <c r="AL32" s="21">
        <f>IF(AE32="","",IFERROR(IF(TRIM(INDEX($A32:$X32,MATCH(Lists!$F$9,$A$1:$X$1,0))&amp;"")="","",VALUE(TRIM(INDEX($A32:$X32,MATCH(Lists!$F$9,$A$1:$X$1,0))&amp;""))),""))</f>
        <v/>
      </c>
      <c r="AM32" s="21">
        <f>IF(AE32="","",IFERROR(TRIM(INDEX($A32:$X32,MATCH(Lists!$F$10,$A$1:$X$1,0))&amp;""),""))</f>
        <v/>
      </c>
      <c r="AN32" s="21">
        <f>IF(AE32="","",IF(OR(AM32="Paid",AM32="Partially refunded"),"Paid",IF(Z32="Yes","Paid (by hand)",IF(AM32&lt;&gt;"",AM32,"Unpaid"))))</f>
        <v/>
      </c>
      <c r="AO32" s="21">
        <f>IF(AD32=1,COUNTIFS($AE$2:$AE$301,"&lt;"&amp;AE32,$AD$2:$AD$301,1)+COUNTIF($AE$2:AE32,AE32),"")</f>
        <v/>
      </c>
    </row>
    <row r="33">
      <c r="Y33" s="19" t="n"/>
      <c r="Z33" s="22" t="n"/>
      <c r="AA33" s="22" t="n"/>
      <c r="AB33" s="22" t="n"/>
      <c r="AC33" s="19" t="n"/>
      <c r="AD33" s="21">
        <f>IF(AE33="",0,1)</f>
        <v/>
      </c>
      <c r="AE33" s="21">
        <f>IFERROR(TRIM(INDEX($A33:$X33,MATCH(Lists!$F$2,$A$1:$X$1,0))&amp;""),"")</f>
        <v/>
      </c>
      <c r="AF33" s="21">
        <f>IF(AE33="","",IFERROR(TRIM(INDEX($A33:$X33,MATCH(Lists!$F$3,$A$1:$X$1,0))&amp;""),""))</f>
        <v/>
      </c>
      <c r="AG33" s="21">
        <f>IF(AE33="","",IFERROR(TRIM(INDEX($A33:$X33,MATCH(Lists!$F$4,$A$1:$X$1,0))&amp;""),""))</f>
        <v/>
      </c>
      <c r="AH33" s="21">
        <f>IF(AE33="","",LOWER(IFERROR(TRIM(INDEX($A33:$X33,MATCH(Lists!$F$5,$A$1:$X$1,0))&amp;""),"")))</f>
        <v/>
      </c>
      <c r="AI33" s="21">
        <f>IF(AE33="","",IFERROR(TRIM(INDEX($A33:$X33,MATCH(Lists!$F$6,$A$1:$X$1,0))&amp;""),""))</f>
        <v/>
      </c>
      <c r="AJ33" s="21">
        <f>IF(AE33="","",IF(LEFT(IFERROR(TRIM(INDEX($A33:$X33,MATCH(Lists!$F$7,$A$1:$X$1,0))&amp;""),""),3)="Yes","Yes","No"))</f>
        <v/>
      </c>
      <c r="AK33" s="21">
        <f>IF(AE33="","",IFERROR(TRIM(INDEX($A33:$X33,MATCH(Lists!$F$8,$A$1:$X$1,0))&amp;""),""))</f>
        <v/>
      </c>
      <c r="AL33" s="21">
        <f>IF(AE33="","",IFERROR(IF(TRIM(INDEX($A33:$X33,MATCH(Lists!$F$9,$A$1:$X$1,0))&amp;"")="","",VALUE(TRIM(INDEX($A33:$X33,MATCH(Lists!$F$9,$A$1:$X$1,0))&amp;""))),""))</f>
        <v/>
      </c>
      <c r="AM33" s="21">
        <f>IF(AE33="","",IFERROR(TRIM(INDEX($A33:$X33,MATCH(Lists!$F$10,$A$1:$X$1,0))&amp;""),""))</f>
        <v/>
      </c>
      <c r="AN33" s="21">
        <f>IF(AE33="","",IF(OR(AM33="Paid",AM33="Partially refunded"),"Paid",IF(Z33="Yes","Paid (by hand)",IF(AM33&lt;&gt;"",AM33,"Unpaid"))))</f>
        <v/>
      </c>
      <c r="AO33" s="21">
        <f>IF(AD33=1,COUNTIFS($AE$2:$AE$301,"&lt;"&amp;AE33,$AD$2:$AD$301,1)+COUNTIF($AE$2:AE33,AE33),"")</f>
        <v/>
      </c>
    </row>
    <row r="34">
      <c r="Y34" s="19" t="n"/>
      <c r="Z34" s="22" t="n"/>
      <c r="AA34" s="22" t="n"/>
      <c r="AB34" s="22" t="n"/>
      <c r="AC34" s="19" t="n"/>
      <c r="AD34" s="21">
        <f>IF(AE34="",0,1)</f>
        <v/>
      </c>
      <c r="AE34" s="21">
        <f>IFERROR(TRIM(INDEX($A34:$X34,MATCH(Lists!$F$2,$A$1:$X$1,0))&amp;""),"")</f>
        <v/>
      </c>
      <c r="AF34" s="21">
        <f>IF(AE34="","",IFERROR(TRIM(INDEX($A34:$X34,MATCH(Lists!$F$3,$A$1:$X$1,0))&amp;""),""))</f>
        <v/>
      </c>
      <c r="AG34" s="21">
        <f>IF(AE34="","",IFERROR(TRIM(INDEX($A34:$X34,MATCH(Lists!$F$4,$A$1:$X$1,0))&amp;""),""))</f>
        <v/>
      </c>
      <c r="AH34" s="21">
        <f>IF(AE34="","",LOWER(IFERROR(TRIM(INDEX($A34:$X34,MATCH(Lists!$F$5,$A$1:$X$1,0))&amp;""),"")))</f>
        <v/>
      </c>
      <c r="AI34" s="21">
        <f>IF(AE34="","",IFERROR(TRIM(INDEX($A34:$X34,MATCH(Lists!$F$6,$A$1:$X$1,0))&amp;""),""))</f>
        <v/>
      </c>
      <c r="AJ34" s="21">
        <f>IF(AE34="","",IF(LEFT(IFERROR(TRIM(INDEX($A34:$X34,MATCH(Lists!$F$7,$A$1:$X$1,0))&amp;""),""),3)="Yes","Yes","No"))</f>
        <v/>
      </c>
      <c r="AK34" s="21">
        <f>IF(AE34="","",IFERROR(TRIM(INDEX($A34:$X34,MATCH(Lists!$F$8,$A$1:$X$1,0))&amp;""),""))</f>
        <v/>
      </c>
      <c r="AL34" s="21">
        <f>IF(AE34="","",IFERROR(IF(TRIM(INDEX($A34:$X34,MATCH(Lists!$F$9,$A$1:$X$1,0))&amp;"")="","",VALUE(TRIM(INDEX($A34:$X34,MATCH(Lists!$F$9,$A$1:$X$1,0))&amp;""))),""))</f>
        <v/>
      </c>
      <c r="AM34" s="21">
        <f>IF(AE34="","",IFERROR(TRIM(INDEX($A34:$X34,MATCH(Lists!$F$10,$A$1:$X$1,0))&amp;""),""))</f>
        <v/>
      </c>
      <c r="AN34" s="21">
        <f>IF(AE34="","",IF(OR(AM34="Paid",AM34="Partially refunded"),"Paid",IF(Z34="Yes","Paid (by hand)",IF(AM34&lt;&gt;"",AM34,"Unpaid"))))</f>
        <v/>
      </c>
      <c r="AO34" s="21">
        <f>IF(AD34=1,COUNTIFS($AE$2:$AE$301,"&lt;"&amp;AE34,$AD$2:$AD$301,1)+COUNTIF($AE$2:AE34,AE34),"")</f>
        <v/>
      </c>
    </row>
    <row r="35">
      <c r="Y35" s="19" t="n"/>
      <c r="Z35" s="22" t="n"/>
      <c r="AA35" s="22" t="n"/>
      <c r="AB35" s="22" t="n"/>
      <c r="AC35" s="19" t="n"/>
      <c r="AD35" s="21">
        <f>IF(AE35="",0,1)</f>
        <v/>
      </c>
      <c r="AE35" s="21">
        <f>IFERROR(TRIM(INDEX($A35:$X35,MATCH(Lists!$F$2,$A$1:$X$1,0))&amp;""),"")</f>
        <v/>
      </c>
      <c r="AF35" s="21">
        <f>IF(AE35="","",IFERROR(TRIM(INDEX($A35:$X35,MATCH(Lists!$F$3,$A$1:$X$1,0))&amp;""),""))</f>
        <v/>
      </c>
      <c r="AG35" s="21">
        <f>IF(AE35="","",IFERROR(TRIM(INDEX($A35:$X35,MATCH(Lists!$F$4,$A$1:$X$1,0))&amp;""),""))</f>
        <v/>
      </c>
      <c r="AH35" s="21">
        <f>IF(AE35="","",LOWER(IFERROR(TRIM(INDEX($A35:$X35,MATCH(Lists!$F$5,$A$1:$X$1,0))&amp;""),"")))</f>
        <v/>
      </c>
      <c r="AI35" s="21">
        <f>IF(AE35="","",IFERROR(TRIM(INDEX($A35:$X35,MATCH(Lists!$F$6,$A$1:$X$1,0))&amp;""),""))</f>
        <v/>
      </c>
      <c r="AJ35" s="21">
        <f>IF(AE35="","",IF(LEFT(IFERROR(TRIM(INDEX($A35:$X35,MATCH(Lists!$F$7,$A$1:$X$1,0))&amp;""),""),3)="Yes","Yes","No"))</f>
        <v/>
      </c>
      <c r="AK35" s="21">
        <f>IF(AE35="","",IFERROR(TRIM(INDEX($A35:$X35,MATCH(Lists!$F$8,$A$1:$X$1,0))&amp;""),""))</f>
        <v/>
      </c>
      <c r="AL35" s="21">
        <f>IF(AE35="","",IFERROR(IF(TRIM(INDEX($A35:$X35,MATCH(Lists!$F$9,$A$1:$X$1,0))&amp;"")="","",VALUE(TRIM(INDEX($A35:$X35,MATCH(Lists!$F$9,$A$1:$X$1,0))&amp;""))),""))</f>
        <v/>
      </c>
      <c r="AM35" s="21">
        <f>IF(AE35="","",IFERROR(TRIM(INDEX($A35:$X35,MATCH(Lists!$F$10,$A$1:$X$1,0))&amp;""),""))</f>
        <v/>
      </c>
      <c r="AN35" s="21">
        <f>IF(AE35="","",IF(OR(AM35="Paid",AM35="Partially refunded"),"Paid",IF(Z35="Yes","Paid (by hand)",IF(AM35&lt;&gt;"",AM35,"Unpaid"))))</f>
        <v/>
      </c>
      <c r="AO35" s="21">
        <f>IF(AD35=1,COUNTIFS($AE$2:$AE$301,"&lt;"&amp;AE35,$AD$2:$AD$301,1)+COUNTIF($AE$2:AE35,AE35),"")</f>
        <v/>
      </c>
    </row>
    <row r="36">
      <c r="Y36" s="19" t="n"/>
      <c r="Z36" s="22" t="n"/>
      <c r="AA36" s="22" t="n"/>
      <c r="AB36" s="22" t="n"/>
      <c r="AC36" s="19" t="n"/>
      <c r="AD36" s="21">
        <f>IF(AE36="",0,1)</f>
        <v/>
      </c>
      <c r="AE36" s="21">
        <f>IFERROR(TRIM(INDEX($A36:$X36,MATCH(Lists!$F$2,$A$1:$X$1,0))&amp;""),"")</f>
        <v/>
      </c>
      <c r="AF36" s="21">
        <f>IF(AE36="","",IFERROR(TRIM(INDEX($A36:$X36,MATCH(Lists!$F$3,$A$1:$X$1,0))&amp;""),""))</f>
        <v/>
      </c>
      <c r="AG36" s="21">
        <f>IF(AE36="","",IFERROR(TRIM(INDEX($A36:$X36,MATCH(Lists!$F$4,$A$1:$X$1,0))&amp;""),""))</f>
        <v/>
      </c>
      <c r="AH36" s="21">
        <f>IF(AE36="","",LOWER(IFERROR(TRIM(INDEX($A36:$X36,MATCH(Lists!$F$5,$A$1:$X$1,0))&amp;""),"")))</f>
        <v/>
      </c>
      <c r="AI36" s="21">
        <f>IF(AE36="","",IFERROR(TRIM(INDEX($A36:$X36,MATCH(Lists!$F$6,$A$1:$X$1,0))&amp;""),""))</f>
        <v/>
      </c>
      <c r="AJ36" s="21">
        <f>IF(AE36="","",IF(LEFT(IFERROR(TRIM(INDEX($A36:$X36,MATCH(Lists!$F$7,$A$1:$X$1,0))&amp;""),""),3)="Yes","Yes","No"))</f>
        <v/>
      </c>
      <c r="AK36" s="21">
        <f>IF(AE36="","",IFERROR(TRIM(INDEX($A36:$X36,MATCH(Lists!$F$8,$A$1:$X$1,0))&amp;""),""))</f>
        <v/>
      </c>
      <c r="AL36" s="21">
        <f>IF(AE36="","",IFERROR(IF(TRIM(INDEX($A36:$X36,MATCH(Lists!$F$9,$A$1:$X$1,0))&amp;"")="","",VALUE(TRIM(INDEX($A36:$X36,MATCH(Lists!$F$9,$A$1:$X$1,0))&amp;""))),""))</f>
        <v/>
      </c>
      <c r="AM36" s="21">
        <f>IF(AE36="","",IFERROR(TRIM(INDEX($A36:$X36,MATCH(Lists!$F$10,$A$1:$X$1,0))&amp;""),""))</f>
        <v/>
      </c>
      <c r="AN36" s="21">
        <f>IF(AE36="","",IF(OR(AM36="Paid",AM36="Partially refunded"),"Paid",IF(Z36="Yes","Paid (by hand)",IF(AM36&lt;&gt;"",AM36,"Unpaid"))))</f>
        <v/>
      </c>
      <c r="AO36" s="21">
        <f>IF(AD36=1,COUNTIFS($AE$2:$AE$301,"&lt;"&amp;AE36,$AD$2:$AD$301,1)+COUNTIF($AE$2:AE36,AE36),"")</f>
        <v/>
      </c>
    </row>
    <row r="37">
      <c r="Y37" s="19" t="n"/>
      <c r="Z37" s="22" t="n"/>
      <c r="AA37" s="22" t="n"/>
      <c r="AB37" s="22" t="n"/>
      <c r="AC37" s="19" t="n"/>
      <c r="AD37" s="21">
        <f>IF(AE37="",0,1)</f>
        <v/>
      </c>
      <c r="AE37" s="21">
        <f>IFERROR(TRIM(INDEX($A37:$X37,MATCH(Lists!$F$2,$A$1:$X$1,0))&amp;""),"")</f>
        <v/>
      </c>
      <c r="AF37" s="21">
        <f>IF(AE37="","",IFERROR(TRIM(INDEX($A37:$X37,MATCH(Lists!$F$3,$A$1:$X$1,0))&amp;""),""))</f>
        <v/>
      </c>
      <c r="AG37" s="21">
        <f>IF(AE37="","",IFERROR(TRIM(INDEX($A37:$X37,MATCH(Lists!$F$4,$A$1:$X$1,0))&amp;""),""))</f>
        <v/>
      </c>
      <c r="AH37" s="21">
        <f>IF(AE37="","",LOWER(IFERROR(TRIM(INDEX($A37:$X37,MATCH(Lists!$F$5,$A$1:$X$1,0))&amp;""),"")))</f>
        <v/>
      </c>
      <c r="AI37" s="21">
        <f>IF(AE37="","",IFERROR(TRIM(INDEX($A37:$X37,MATCH(Lists!$F$6,$A$1:$X$1,0))&amp;""),""))</f>
        <v/>
      </c>
      <c r="AJ37" s="21">
        <f>IF(AE37="","",IF(LEFT(IFERROR(TRIM(INDEX($A37:$X37,MATCH(Lists!$F$7,$A$1:$X$1,0))&amp;""),""),3)="Yes","Yes","No"))</f>
        <v/>
      </c>
      <c r="AK37" s="21">
        <f>IF(AE37="","",IFERROR(TRIM(INDEX($A37:$X37,MATCH(Lists!$F$8,$A$1:$X$1,0))&amp;""),""))</f>
        <v/>
      </c>
      <c r="AL37" s="21">
        <f>IF(AE37="","",IFERROR(IF(TRIM(INDEX($A37:$X37,MATCH(Lists!$F$9,$A$1:$X$1,0))&amp;"")="","",VALUE(TRIM(INDEX($A37:$X37,MATCH(Lists!$F$9,$A$1:$X$1,0))&amp;""))),""))</f>
        <v/>
      </c>
      <c r="AM37" s="21">
        <f>IF(AE37="","",IFERROR(TRIM(INDEX($A37:$X37,MATCH(Lists!$F$10,$A$1:$X$1,0))&amp;""),""))</f>
        <v/>
      </c>
      <c r="AN37" s="21">
        <f>IF(AE37="","",IF(OR(AM37="Paid",AM37="Partially refunded"),"Paid",IF(Z37="Yes","Paid (by hand)",IF(AM37&lt;&gt;"",AM37,"Unpaid"))))</f>
        <v/>
      </c>
      <c r="AO37" s="21">
        <f>IF(AD37=1,COUNTIFS($AE$2:$AE$301,"&lt;"&amp;AE37,$AD$2:$AD$301,1)+COUNTIF($AE$2:AE37,AE37),"")</f>
        <v/>
      </c>
    </row>
    <row r="38">
      <c r="Y38" s="19" t="n"/>
      <c r="Z38" s="22" t="n"/>
      <c r="AA38" s="22" t="n"/>
      <c r="AB38" s="22" t="n"/>
      <c r="AC38" s="19" t="n"/>
      <c r="AD38" s="21">
        <f>IF(AE38="",0,1)</f>
        <v/>
      </c>
      <c r="AE38" s="21">
        <f>IFERROR(TRIM(INDEX($A38:$X38,MATCH(Lists!$F$2,$A$1:$X$1,0))&amp;""),"")</f>
        <v/>
      </c>
      <c r="AF38" s="21">
        <f>IF(AE38="","",IFERROR(TRIM(INDEX($A38:$X38,MATCH(Lists!$F$3,$A$1:$X$1,0))&amp;""),""))</f>
        <v/>
      </c>
      <c r="AG38" s="21">
        <f>IF(AE38="","",IFERROR(TRIM(INDEX($A38:$X38,MATCH(Lists!$F$4,$A$1:$X$1,0))&amp;""),""))</f>
        <v/>
      </c>
      <c r="AH38" s="21">
        <f>IF(AE38="","",LOWER(IFERROR(TRIM(INDEX($A38:$X38,MATCH(Lists!$F$5,$A$1:$X$1,0))&amp;""),"")))</f>
        <v/>
      </c>
      <c r="AI38" s="21">
        <f>IF(AE38="","",IFERROR(TRIM(INDEX($A38:$X38,MATCH(Lists!$F$6,$A$1:$X$1,0))&amp;""),""))</f>
        <v/>
      </c>
      <c r="AJ38" s="21">
        <f>IF(AE38="","",IF(LEFT(IFERROR(TRIM(INDEX($A38:$X38,MATCH(Lists!$F$7,$A$1:$X$1,0))&amp;""),""),3)="Yes","Yes","No"))</f>
        <v/>
      </c>
      <c r="AK38" s="21">
        <f>IF(AE38="","",IFERROR(TRIM(INDEX($A38:$X38,MATCH(Lists!$F$8,$A$1:$X$1,0))&amp;""),""))</f>
        <v/>
      </c>
      <c r="AL38" s="21">
        <f>IF(AE38="","",IFERROR(IF(TRIM(INDEX($A38:$X38,MATCH(Lists!$F$9,$A$1:$X$1,0))&amp;"")="","",VALUE(TRIM(INDEX($A38:$X38,MATCH(Lists!$F$9,$A$1:$X$1,0))&amp;""))),""))</f>
        <v/>
      </c>
      <c r="AM38" s="21">
        <f>IF(AE38="","",IFERROR(TRIM(INDEX($A38:$X38,MATCH(Lists!$F$10,$A$1:$X$1,0))&amp;""),""))</f>
        <v/>
      </c>
      <c r="AN38" s="21">
        <f>IF(AE38="","",IF(OR(AM38="Paid",AM38="Partially refunded"),"Paid",IF(Z38="Yes","Paid (by hand)",IF(AM38&lt;&gt;"",AM38,"Unpaid"))))</f>
        <v/>
      </c>
      <c r="AO38" s="21">
        <f>IF(AD38=1,COUNTIFS($AE$2:$AE$301,"&lt;"&amp;AE38,$AD$2:$AD$301,1)+COUNTIF($AE$2:AE38,AE38),"")</f>
        <v/>
      </c>
    </row>
    <row r="39">
      <c r="Y39" s="19" t="n"/>
      <c r="Z39" s="22" t="n"/>
      <c r="AA39" s="22" t="n"/>
      <c r="AB39" s="22" t="n"/>
      <c r="AC39" s="19" t="n"/>
      <c r="AD39" s="21">
        <f>IF(AE39="",0,1)</f>
        <v/>
      </c>
      <c r="AE39" s="21">
        <f>IFERROR(TRIM(INDEX($A39:$X39,MATCH(Lists!$F$2,$A$1:$X$1,0))&amp;""),"")</f>
        <v/>
      </c>
      <c r="AF39" s="21">
        <f>IF(AE39="","",IFERROR(TRIM(INDEX($A39:$X39,MATCH(Lists!$F$3,$A$1:$X$1,0))&amp;""),""))</f>
        <v/>
      </c>
      <c r="AG39" s="21">
        <f>IF(AE39="","",IFERROR(TRIM(INDEX($A39:$X39,MATCH(Lists!$F$4,$A$1:$X$1,0))&amp;""),""))</f>
        <v/>
      </c>
      <c r="AH39" s="21">
        <f>IF(AE39="","",LOWER(IFERROR(TRIM(INDEX($A39:$X39,MATCH(Lists!$F$5,$A$1:$X$1,0))&amp;""),"")))</f>
        <v/>
      </c>
      <c r="AI39" s="21">
        <f>IF(AE39="","",IFERROR(TRIM(INDEX($A39:$X39,MATCH(Lists!$F$6,$A$1:$X$1,0))&amp;""),""))</f>
        <v/>
      </c>
      <c r="AJ39" s="21">
        <f>IF(AE39="","",IF(LEFT(IFERROR(TRIM(INDEX($A39:$X39,MATCH(Lists!$F$7,$A$1:$X$1,0))&amp;""),""),3)="Yes","Yes","No"))</f>
        <v/>
      </c>
      <c r="AK39" s="21">
        <f>IF(AE39="","",IFERROR(TRIM(INDEX($A39:$X39,MATCH(Lists!$F$8,$A$1:$X$1,0))&amp;""),""))</f>
        <v/>
      </c>
      <c r="AL39" s="21">
        <f>IF(AE39="","",IFERROR(IF(TRIM(INDEX($A39:$X39,MATCH(Lists!$F$9,$A$1:$X$1,0))&amp;"")="","",VALUE(TRIM(INDEX($A39:$X39,MATCH(Lists!$F$9,$A$1:$X$1,0))&amp;""))),""))</f>
        <v/>
      </c>
      <c r="AM39" s="21">
        <f>IF(AE39="","",IFERROR(TRIM(INDEX($A39:$X39,MATCH(Lists!$F$10,$A$1:$X$1,0))&amp;""),""))</f>
        <v/>
      </c>
      <c r="AN39" s="21">
        <f>IF(AE39="","",IF(OR(AM39="Paid",AM39="Partially refunded"),"Paid",IF(Z39="Yes","Paid (by hand)",IF(AM39&lt;&gt;"",AM39,"Unpaid"))))</f>
        <v/>
      </c>
      <c r="AO39" s="21">
        <f>IF(AD39=1,COUNTIFS($AE$2:$AE$301,"&lt;"&amp;AE39,$AD$2:$AD$301,1)+COUNTIF($AE$2:AE39,AE39),"")</f>
        <v/>
      </c>
    </row>
    <row r="40">
      <c r="Y40" s="19" t="n"/>
      <c r="Z40" s="22" t="n"/>
      <c r="AA40" s="22" t="n"/>
      <c r="AB40" s="22" t="n"/>
      <c r="AC40" s="19" t="n"/>
      <c r="AD40" s="21">
        <f>IF(AE40="",0,1)</f>
        <v/>
      </c>
      <c r="AE40" s="21">
        <f>IFERROR(TRIM(INDEX($A40:$X40,MATCH(Lists!$F$2,$A$1:$X$1,0))&amp;""),"")</f>
        <v/>
      </c>
      <c r="AF40" s="21">
        <f>IF(AE40="","",IFERROR(TRIM(INDEX($A40:$X40,MATCH(Lists!$F$3,$A$1:$X$1,0))&amp;""),""))</f>
        <v/>
      </c>
      <c r="AG40" s="21">
        <f>IF(AE40="","",IFERROR(TRIM(INDEX($A40:$X40,MATCH(Lists!$F$4,$A$1:$X$1,0))&amp;""),""))</f>
        <v/>
      </c>
      <c r="AH40" s="21">
        <f>IF(AE40="","",LOWER(IFERROR(TRIM(INDEX($A40:$X40,MATCH(Lists!$F$5,$A$1:$X$1,0))&amp;""),"")))</f>
        <v/>
      </c>
      <c r="AI40" s="21">
        <f>IF(AE40="","",IFERROR(TRIM(INDEX($A40:$X40,MATCH(Lists!$F$6,$A$1:$X$1,0))&amp;""),""))</f>
        <v/>
      </c>
      <c r="AJ40" s="21">
        <f>IF(AE40="","",IF(LEFT(IFERROR(TRIM(INDEX($A40:$X40,MATCH(Lists!$F$7,$A$1:$X$1,0))&amp;""),""),3)="Yes","Yes","No"))</f>
        <v/>
      </c>
      <c r="AK40" s="21">
        <f>IF(AE40="","",IFERROR(TRIM(INDEX($A40:$X40,MATCH(Lists!$F$8,$A$1:$X$1,0))&amp;""),""))</f>
        <v/>
      </c>
      <c r="AL40" s="21">
        <f>IF(AE40="","",IFERROR(IF(TRIM(INDEX($A40:$X40,MATCH(Lists!$F$9,$A$1:$X$1,0))&amp;"")="","",VALUE(TRIM(INDEX($A40:$X40,MATCH(Lists!$F$9,$A$1:$X$1,0))&amp;""))),""))</f>
        <v/>
      </c>
      <c r="AM40" s="21">
        <f>IF(AE40="","",IFERROR(TRIM(INDEX($A40:$X40,MATCH(Lists!$F$10,$A$1:$X$1,0))&amp;""),""))</f>
        <v/>
      </c>
      <c r="AN40" s="21">
        <f>IF(AE40="","",IF(OR(AM40="Paid",AM40="Partially refunded"),"Paid",IF(Z40="Yes","Paid (by hand)",IF(AM40&lt;&gt;"",AM40,"Unpaid"))))</f>
        <v/>
      </c>
      <c r="AO40" s="21">
        <f>IF(AD40=1,COUNTIFS($AE$2:$AE$301,"&lt;"&amp;AE40,$AD$2:$AD$301,1)+COUNTIF($AE$2:AE40,AE40),"")</f>
        <v/>
      </c>
    </row>
    <row r="41">
      <c r="Y41" s="19" t="n"/>
      <c r="Z41" s="22" t="n"/>
      <c r="AA41" s="22" t="n"/>
      <c r="AB41" s="22" t="n"/>
      <c r="AC41" s="19" t="n"/>
      <c r="AD41" s="21">
        <f>IF(AE41="",0,1)</f>
        <v/>
      </c>
      <c r="AE41" s="21">
        <f>IFERROR(TRIM(INDEX($A41:$X41,MATCH(Lists!$F$2,$A$1:$X$1,0))&amp;""),"")</f>
        <v/>
      </c>
      <c r="AF41" s="21">
        <f>IF(AE41="","",IFERROR(TRIM(INDEX($A41:$X41,MATCH(Lists!$F$3,$A$1:$X$1,0))&amp;""),""))</f>
        <v/>
      </c>
      <c r="AG41" s="21">
        <f>IF(AE41="","",IFERROR(TRIM(INDEX($A41:$X41,MATCH(Lists!$F$4,$A$1:$X$1,0))&amp;""),""))</f>
        <v/>
      </c>
      <c r="AH41" s="21">
        <f>IF(AE41="","",LOWER(IFERROR(TRIM(INDEX($A41:$X41,MATCH(Lists!$F$5,$A$1:$X$1,0))&amp;""),"")))</f>
        <v/>
      </c>
      <c r="AI41" s="21">
        <f>IF(AE41="","",IFERROR(TRIM(INDEX($A41:$X41,MATCH(Lists!$F$6,$A$1:$X$1,0))&amp;""),""))</f>
        <v/>
      </c>
      <c r="AJ41" s="21">
        <f>IF(AE41="","",IF(LEFT(IFERROR(TRIM(INDEX($A41:$X41,MATCH(Lists!$F$7,$A$1:$X$1,0))&amp;""),""),3)="Yes","Yes","No"))</f>
        <v/>
      </c>
      <c r="AK41" s="21">
        <f>IF(AE41="","",IFERROR(TRIM(INDEX($A41:$X41,MATCH(Lists!$F$8,$A$1:$X$1,0))&amp;""),""))</f>
        <v/>
      </c>
      <c r="AL41" s="21">
        <f>IF(AE41="","",IFERROR(IF(TRIM(INDEX($A41:$X41,MATCH(Lists!$F$9,$A$1:$X$1,0))&amp;"")="","",VALUE(TRIM(INDEX($A41:$X41,MATCH(Lists!$F$9,$A$1:$X$1,0))&amp;""))),""))</f>
        <v/>
      </c>
      <c r="AM41" s="21">
        <f>IF(AE41="","",IFERROR(TRIM(INDEX($A41:$X41,MATCH(Lists!$F$10,$A$1:$X$1,0))&amp;""),""))</f>
        <v/>
      </c>
      <c r="AN41" s="21">
        <f>IF(AE41="","",IF(OR(AM41="Paid",AM41="Partially refunded"),"Paid",IF(Z41="Yes","Paid (by hand)",IF(AM41&lt;&gt;"",AM41,"Unpaid"))))</f>
        <v/>
      </c>
      <c r="AO41" s="21">
        <f>IF(AD41=1,COUNTIFS($AE$2:$AE$301,"&lt;"&amp;AE41,$AD$2:$AD$301,1)+COUNTIF($AE$2:AE41,AE41),"")</f>
        <v/>
      </c>
    </row>
    <row r="42">
      <c r="Y42" s="19" t="n"/>
      <c r="Z42" s="22" t="n"/>
      <c r="AA42" s="22" t="n"/>
      <c r="AB42" s="22" t="n"/>
      <c r="AC42" s="19" t="n"/>
      <c r="AD42" s="21">
        <f>IF(AE42="",0,1)</f>
        <v/>
      </c>
      <c r="AE42" s="21">
        <f>IFERROR(TRIM(INDEX($A42:$X42,MATCH(Lists!$F$2,$A$1:$X$1,0))&amp;""),"")</f>
        <v/>
      </c>
      <c r="AF42" s="21">
        <f>IF(AE42="","",IFERROR(TRIM(INDEX($A42:$X42,MATCH(Lists!$F$3,$A$1:$X$1,0))&amp;""),""))</f>
        <v/>
      </c>
      <c r="AG42" s="21">
        <f>IF(AE42="","",IFERROR(TRIM(INDEX($A42:$X42,MATCH(Lists!$F$4,$A$1:$X$1,0))&amp;""),""))</f>
        <v/>
      </c>
      <c r="AH42" s="21">
        <f>IF(AE42="","",LOWER(IFERROR(TRIM(INDEX($A42:$X42,MATCH(Lists!$F$5,$A$1:$X$1,0))&amp;""),"")))</f>
        <v/>
      </c>
      <c r="AI42" s="21">
        <f>IF(AE42="","",IFERROR(TRIM(INDEX($A42:$X42,MATCH(Lists!$F$6,$A$1:$X$1,0))&amp;""),""))</f>
        <v/>
      </c>
      <c r="AJ42" s="21">
        <f>IF(AE42="","",IF(LEFT(IFERROR(TRIM(INDEX($A42:$X42,MATCH(Lists!$F$7,$A$1:$X$1,0))&amp;""),""),3)="Yes","Yes","No"))</f>
        <v/>
      </c>
      <c r="AK42" s="21">
        <f>IF(AE42="","",IFERROR(TRIM(INDEX($A42:$X42,MATCH(Lists!$F$8,$A$1:$X$1,0))&amp;""),""))</f>
        <v/>
      </c>
      <c r="AL42" s="21">
        <f>IF(AE42="","",IFERROR(IF(TRIM(INDEX($A42:$X42,MATCH(Lists!$F$9,$A$1:$X$1,0))&amp;"")="","",VALUE(TRIM(INDEX($A42:$X42,MATCH(Lists!$F$9,$A$1:$X$1,0))&amp;""))),""))</f>
        <v/>
      </c>
      <c r="AM42" s="21">
        <f>IF(AE42="","",IFERROR(TRIM(INDEX($A42:$X42,MATCH(Lists!$F$10,$A$1:$X$1,0))&amp;""),""))</f>
        <v/>
      </c>
      <c r="AN42" s="21">
        <f>IF(AE42="","",IF(OR(AM42="Paid",AM42="Partially refunded"),"Paid",IF(Z42="Yes","Paid (by hand)",IF(AM42&lt;&gt;"",AM42,"Unpaid"))))</f>
        <v/>
      </c>
      <c r="AO42" s="21">
        <f>IF(AD42=1,COUNTIFS($AE$2:$AE$301,"&lt;"&amp;AE42,$AD$2:$AD$301,1)+COUNTIF($AE$2:AE42,AE42),"")</f>
        <v/>
      </c>
    </row>
    <row r="43">
      <c r="Y43" s="19" t="n"/>
      <c r="Z43" s="22" t="n"/>
      <c r="AA43" s="22" t="n"/>
      <c r="AB43" s="22" t="n"/>
      <c r="AC43" s="19" t="n"/>
      <c r="AD43" s="21">
        <f>IF(AE43="",0,1)</f>
        <v/>
      </c>
      <c r="AE43" s="21">
        <f>IFERROR(TRIM(INDEX($A43:$X43,MATCH(Lists!$F$2,$A$1:$X$1,0))&amp;""),"")</f>
        <v/>
      </c>
      <c r="AF43" s="21">
        <f>IF(AE43="","",IFERROR(TRIM(INDEX($A43:$X43,MATCH(Lists!$F$3,$A$1:$X$1,0))&amp;""),""))</f>
        <v/>
      </c>
      <c r="AG43" s="21">
        <f>IF(AE43="","",IFERROR(TRIM(INDEX($A43:$X43,MATCH(Lists!$F$4,$A$1:$X$1,0))&amp;""),""))</f>
        <v/>
      </c>
      <c r="AH43" s="21">
        <f>IF(AE43="","",LOWER(IFERROR(TRIM(INDEX($A43:$X43,MATCH(Lists!$F$5,$A$1:$X$1,0))&amp;""),"")))</f>
        <v/>
      </c>
      <c r="AI43" s="21">
        <f>IF(AE43="","",IFERROR(TRIM(INDEX($A43:$X43,MATCH(Lists!$F$6,$A$1:$X$1,0))&amp;""),""))</f>
        <v/>
      </c>
      <c r="AJ43" s="21">
        <f>IF(AE43="","",IF(LEFT(IFERROR(TRIM(INDEX($A43:$X43,MATCH(Lists!$F$7,$A$1:$X$1,0))&amp;""),""),3)="Yes","Yes","No"))</f>
        <v/>
      </c>
      <c r="AK43" s="21">
        <f>IF(AE43="","",IFERROR(TRIM(INDEX($A43:$X43,MATCH(Lists!$F$8,$A$1:$X$1,0))&amp;""),""))</f>
        <v/>
      </c>
      <c r="AL43" s="21">
        <f>IF(AE43="","",IFERROR(IF(TRIM(INDEX($A43:$X43,MATCH(Lists!$F$9,$A$1:$X$1,0))&amp;"")="","",VALUE(TRIM(INDEX($A43:$X43,MATCH(Lists!$F$9,$A$1:$X$1,0))&amp;""))),""))</f>
        <v/>
      </c>
      <c r="AM43" s="21">
        <f>IF(AE43="","",IFERROR(TRIM(INDEX($A43:$X43,MATCH(Lists!$F$10,$A$1:$X$1,0))&amp;""),""))</f>
        <v/>
      </c>
      <c r="AN43" s="21">
        <f>IF(AE43="","",IF(OR(AM43="Paid",AM43="Partially refunded"),"Paid",IF(Z43="Yes","Paid (by hand)",IF(AM43&lt;&gt;"",AM43,"Unpaid"))))</f>
        <v/>
      </c>
      <c r="AO43" s="21">
        <f>IF(AD43=1,COUNTIFS($AE$2:$AE$301,"&lt;"&amp;AE43,$AD$2:$AD$301,1)+COUNTIF($AE$2:AE43,AE43),"")</f>
        <v/>
      </c>
    </row>
    <row r="44">
      <c r="Y44" s="19" t="n"/>
      <c r="Z44" s="22" t="n"/>
      <c r="AA44" s="22" t="n"/>
      <c r="AB44" s="22" t="n"/>
      <c r="AC44" s="19" t="n"/>
      <c r="AD44" s="21">
        <f>IF(AE44="",0,1)</f>
        <v/>
      </c>
      <c r="AE44" s="21">
        <f>IFERROR(TRIM(INDEX($A44:$X44,MATCH(Lists!$F$2,$A$1:$X$1,0))&amp;""),"")</f>
        <v/>
      </c>
      <c r="AF44" s="21">
        <f>IF(AE44="","",IFERROR(TRIM(INDEX($A44:$X44,MATCH(Lists!$F$3,$A$1:$X$1,0))&amp;""),""))</f>
        <v/>
      </c>
      <c r="AG44" s="21">
        <f>IF(AE44="","",IFERROR(TRIM(INDEX($A44:$X44,MATCH(Lists!$F$4,$A$1:$X$1,0))&amp;""),""))</f>
        <v/>
      </c>
      <c r="AH44" s="21">
        <f>IF(AE44="","",LOWER(IFERROR(TRIM(INDEX($A44:$X44,MATCH(Lists!$F$5,$A$1:$X$1,0))&amp;""),"")))</f>
        <v/>
      </c>
      <c r="AI44" s="21">
        <f>IF(AE44="","",IFERROR(TRIM(INDEX($A44:$X44,MATCH(Lists!$F$6,$A$1:$X$1,0))&amp;""),""))</f>
        <v/>
      </c>
      <c r="AJ44" s="21">
        <f>IF(AE44="","",IF(LEFT(IFERROR(TRIM(INDEX($A44:$X44,MATCH(Lists!$F$7,$A$1:$X$1,0))&amp;""),""),3)="Yes","Yes","No"))</f>
        <v/>
      </c>
      <c r="AK44" s="21">
        <f>IF(AE44="","",IFERROR(TRIM(INDEX($A44:$X44,MATCH(Lists!$F$8,$A$1:$X$1,0))&amp;""),""))</f>
        <v/>
      </c>
      <c r="AL44" s="21">
        <f>IF(AE44="","",IFERROR(IF(TRIM(INDEX($A44:$X44,MATCH(Lists!$F$9,$A$1:$X$1,0))&amp;"")="","",VALUE(TRIM(INDEX($A44:$X44,MATCH(Lists!$F$9,$A$1:$X$1,0))&amp;""))),""))</f>
        <v/>
      </c>
      <c r="AM44" s="21">
        <f>IF(AE44="","",IFERROR(TRIM(INDEX($A44:$X44,MATCH(Lists!$F$10,$A$1:$X$1,0))&amp;""),""))</f>
        <v/>
      </c>
      <c r="AN44" s="21">
        <f>IF(AE44="","",IF(OR(AM44="Paid",AM44="Partially refunded"),"Paid",IF(Z44="Yes","Paid (by hand)",IF(AM44&lt;&gt;"",AM44,"Unpaid"))))</f>
        <v/>
      </c>
      <c r="AO44" s="21">
        <f>IF(AD44=1,COUNTIFS($AE$2:$AE$301,"&lt;"&amp;AE44,$AD$2:$AD$301,1)+COUNTIF($AE$2:AE44,AE44),"")</f>
        <v/>
      </c>
    </row>
    <row r="45">
      <c r="Y45" s="19" t="n"/>
      <c r="Z45" s="22" t="n"/>
      <c r="AA45" s="22" t="n"/>
      <c r="AB45" s="22" t="n"/>
      <c r="AC45" s="19" t="n"/>
      <c r="AD45" s="21">
        <f>IF(AE45="",0,1)</f>
        <v/>
      </c>
      <c r="AE45" s="21">
        <f>IFERROR(TRIM(INDEX($A45:$X45,MATCH(Lists!$F$2,$A$1:$X$1,0))&amp;""),"")</f>
        <v/>
      </c>
      <c r="AF45" s="21">
        <f>IF(AE45="","",IFERROR(TRIM(INDEX($A45:$X45,MATCH(Lists!$F$3,$A$1:$X$1,0))&amp;""),""))</f>
        <v/>
      </c>
      <c r="AG45" s="21">
        <f>IF(AE45="","",IFERROR(TRIM(INDEX($A45:$X45,MATCH(Lists!$F$4,$A$1:$X$1,0))&amp;""),""))</f>
        <v/>
      </c>
      <c r="AH45" s="21">
        <f>IF(AE45="","",LOWER(IFERROR(TRIM(INDEX($A45:$X45,MATCH(Lists!$F$5,$A$1:$X$1,0))&amp;""),"")))</f>
        <v/>
      </c>
      <c r="AI45" s="21">
        <f>IF(AE45="","",IFERROR(TRIM(INDEX($A45:$X45,MATCH(Lists!$F$6,$A$1:$X$1,0))&amp;""),""))</f>
        <v/>
      </c>
      <c r="AJ45" s="21">
        <f>IF(AE45="","",IF(LEFT(IFERROR(TRIM(INDEX($A45:$X45,MATCH(Lists!$F$7,$A$1:$X$1,0))&amp;""),""),3)="Yes","Yes","No"))</f>
        <v/>
      </c>
      <c r="AK45" s="21">
        <f>IF(AE45="","",IFERROR(TRIM(INDEX($A45:$X45,MATCH(Lists!$F$8,$A$1:$X$1,0))&amp;""),""))</f>
        <v/>
      </c>
      <c r="AL45" s="21">
        <f>IF(AE45="","",IFERROR(IF(TRIM(INDEX($A45:$X45,MATCH(Lists!$F$9,$A$1:$X$1,0))&amp;"")="","",VALUE(TRIM(INDEX($A45:$X45,MATCH(Lists!$F$9,$A$1:$X$1,0))&amp;""))),""))</f>
        <v/>
      </c>
      <c r="AM45" s="21">
        <f>IF(AE45="","",IFERROR(TRIM(INDEX($A45:$X45,MATCH(Lists!$F$10,$A$1:$X$1,0))&amp;""),""))</f>
        <v/>
      </c>
      <c r="AN45" s="21">
        <f>IF(AE45="","",IF(OR(AM45="Paid",AM45="Partially refunded"),"Paid",IF(Z45="Yes","Paid (by hand)",IF(AM45&lt;&gt;"",AM45,"Unpaid"))))</f>
        <v/>
      </c>
      <c r="AO45" s="21">
        <f>IF(AD45=1,COUNTIFS($AE$2:$AE$301,"&lt;"&amp;AE45,$AD$2:$AD$301,1)+COUNTIF($AE$2:AE45,AE45),"")</f>
        <v/>
      </c>
    </row>
    <row r="46">
      <c r="Y46" s="19" t="n"/>
      <c r="Z46" s="22" t="n"/>
      <c r="AA46" s="22" t="n"/>
      <c r="AB46" s="22" t="n"/>
      <c r="AC46" s="19" t="n"/>
      <c r="AD46" s="21">
        <f>IF(AE46="",0,1)</f>
        <v/>
      </c>
      <c r="AE46" s="21">
        <f>IFERROR(TRIM(INDEX($A46:$X46,MATCH(Lists!$F$2,$A$1:$X$1,0))&amp;""),"")</f>
        <v/>
      </c>
      <c r="AF46" s="21">
        <f>IF(AE46="","",IFERROR(TRIM(INDEX($A46:$X46,MATCH(Lists!$F$3,$A$1:$X$1,0))&amp;""),""))</f>
        <v/>
      </c>
      <c r="AG46" s="21">
        <f>IF(AE46="","",IFERROR(TRIM(INDEX($A46:$X46,MATCH(Lists!$F$4,$A$1:$X$1,0))&amp;""),""))</f>
        <v/>
      </c>
      <c r="AH46" s="21">
        <f>IF(AE46="","",LOWER(IFERROR(TRIM(INDEX($A46:$X46,MATCH(Lists!$F$5,$A$1:$X$1,0))&amp;""),"")))</f>
        <v/>
      </c>
      <c r="AI46" s="21">
        <f>IF(AE46="","",IFERROR(TRIM(INDEX($A46:$X46,MATCH(Lists!$F$6,$A$1:$X$1,0))&amp;""),""))</f>
        <v/>
      </c>
      <c r="AJ46" s="21">
        <f>IF(AE46="","",IF(LEFT(IFERROR(TRIM(INDEX($A46:$X46,MATCH(Lists!$F$7,$A$1:$X$1,0))&amp;""),""),3)="Yes","Yes","No"))</f>
        <v/>
      </c>
      <c r="AK46" s="21">
        <f>IF(AE46="","",IFERROR(TRIM(INDEX($A46:$X46,MATCH(Lists!$F$8,$A$1:$X$1,0))&amp;""),""))</f>
        <v/>
      </c>
      <c r="AL46" s="21">
        <f>IF(AE46="","",IFERROR(IF(TRIM(INDEX($A46:$X46,MATCH(Lists!$F$9,$A$1:$X$1,0))&amp;"")="","",VALUE(TRIM(INDEX($A46:$X46,MATCH(Lists!$F$9,$A$1:$X$1,0))&amp;""))),""))</f>
        <v/>
      </c>
      <c r="AM46" s="21">
        <f>IF(AE46="","",IFERROR(TRIM(INDEX($A46:$X46,MATCH(Lists!$F$10,$A$1:$X$1,0))&amp;""),""))</f>
        <v/>
      </c>
      <c r="AN46" s="21">
        <f>IF(AE46="","",IF(OR(AM46="Paid",AM46="Partially refunded"),"Paid",IF(Z46="Yes","Paid (by hand)",IF(AM46&lt;&gt;"",AM46,"Unpaid"))))</f>
        <v/>
      </c>
      <c r="AO46" s="21">
        <f>IF(AD46=1,COUNTIFS($AE$2:$AE$301,"&lt;"&amp;AE46,$AD$2:$AD$301,1)+COUNTIF($AE$2:AE46,AE46),"")</f>
        <v/>
      </c>
    </row>
    <row r="47">
      <c r="Y47" s="19" t="n"/>
      <c r="Z47" s="22" t="n"/>
      <c r="AA47" s="22" t="n"/>
      <c r="AB47" s="22" t="n"/>
      <c r="AC47" s="19" t="n"/>
      <c r="AD47" s="21">
        <f>IF(AE47="",0,1)</f>
        <v/>
      </c>
      <c r="AE47" s="21">
        <f>IFERROR(TRIM(INDEX($A47:$X47,MATCH(Lists!$F$2,$A$1:$X$1,0))&amp;""),"")</f>
        <v/>
      </c>
      <c r="AF47" s="21">
        <f>IF(AE47="","",IFERROR(TRIM(INDEX($A47:$X47,MATCH(Lists!$F$3,$A$1:$X$1,0))&amp;""),""))</f>
        <v/>
      </c>
      <c r="AG47" s="21">
        <f>IF(AE47="","",IFERROR(TRIM(INDEX($A47:$X47,MATCH(Lists!$F$4,$A$1:$X$1,0))&amp;""),""))</f>
        <v/>
      </c>
      <c r="AH47" s="21">
        <f>IF(AE47="","",LOWER(IFERROR(TRIM(INDEX($A47:$X47,MATCH(Lists!$F$5,$A$1:$X$1,0))&amp;""),"")))</f>
        <v/>
      </c>
      <c r="AI47" s="21">
        <f>IF(AE47="","",IFERROR(TRIM(INDEX($A47:$X47,MATCH(Lists!$F$6,$A$1:$X$1,0))&amp;""),""))</f>
        <v/>
      </c>
      <c r="AJ47" s="21">
        <f>IF(AE47="","",IF(LEFT(IFERROR(TRIM(INDEX($A47:$X47,MATCH(Lists!$F$7,$A$1:$X$1,0))&amp;""),""),3)="Yes","Yes","No"))</f>
        <v/>
      </c>
      <c r="AK47" s="21">
        <f>IF(AE47="","",IFERROR(TRIM(INDEX($A47:$X47,MATCH(Lists!$F$8,$A$1:$X$1,0))&amp;""),""))</f>
        <v/>
      </c>
      <c r="AL47" s="21">
        <f>IF(AE47="","",IFERROR(IF(TRIM(INDEX($A47:$X47,MATCH(Lists!$F$9,$A$1:$X$1,0))&amp;"")="","",VALUE(TRIM(INDEX($A47:$X47,MATCH(Lists!$F$9,$A$1:$X$1,0))&amp;""))),""))</f>
        <v/>
      </c>
      <c r="AM47" s="21">
        <f>IF(AE47="","",IFERROR(TRIM(INDEX($A47:$X47,MATCH(Lists!$F$10,$A$1:$X$1,0))&amp;""),""))</f>
        <v/>
      </c>
      <c r="AN47" s="21">
        <f>IF(AE47="","",IF(OR(AM47="Paid",AM47="Partially refunded"),"Paid",IF(Z47="Yes","Paid (by hand)",IF(AM47&lt;&gt;"",AM47,"Unpaid"))))</f>
        <v/>
      </c>
      <c r="AO47" s="21">
        <f>IF(AD47=1,COUNTIFS($AE$2:$AE$301,"&lt;"&amp;AE47,$AD$2:$AD$301,1)+COUNTIF($AE$2:AE47,AE47),"")</f>
        <v/>
      </c>
    </row>
    <row r="48">
      <c r="Y48" s="19" t="n"/>
      <c r="Z48" s="22" t="n"/>
      <c r="AA48" s="22" t="n"/>
      <c r="AB48" s="22" t="n"/>
      <c r="AC48" s="19" t="n"/>
      <c r="AD48" s="21">
        <f>IF(AE48="",0,1)</f>
        <v/>
      </c>
      <c r="AE48" s="21">
        <f>IFERROR(TRIM(INDEX($A48:$X48,MATCH(Lists!$F$2,$A$1:$X$1,0))&amp;""),"")</f>
        <v/>
      </c>
      <c r="AF48" s="21">
        <f>IF(AE48="","",IFERROR(TRIM(INDEX($A48:$X48,MATCH(Lists!$F$3,$A$1:$X$1,0))&amp;""),""))</f>
        <v/>
      </c>
      <c r="AG48" s="21">
        <f>IF(AE48="","",IFERROR(TRIM(INDEX($A48:$X48,MATCH(Lists!$F$4,$A$1:$X$1,0))&amp;""),""))</f>
        <v/>
      </c>
      <c r="AH48" s="21">
        <f>IF(AE48="","",LOWER(IFERROR(TRIM(INDEX($A48:$X48,MATCH(Lists!$F$5,$A$1:$X$1,0))&amp;""),"")))</f>
        <v/>
      </c>
      <c r="AI48" s="21">
        <f>IF(AE48="","",IFERROR(TRIM(INDEX($A48:$X48,MATCH(Lists!$F$6,$A$1:$X$1,0))&amp;""),""))</f>
        <v/>
      </c>
      <c r="AJ48" s="21">
        <f>IF(AE48="","",IF(LEFT(IFERROR(TRIM(INDEX($A48:$X48,MATCH(Lists!$F$7,$A$1:$X$1,0))&amp;""),""),3)="Yes","Yes","No"))</f>
        <v/>
      </c>
      <c r="AK48" s="21">
        <f>IF(AE48="","",IFERROR(TRIM(INDEX($A48:$X48,MATCH(Lists!$F$8,$A$1:$X$1,0))&amp;""),""))</f>
        <v/>
      </c>
      <c r="AL48" s="21">
        <f>IF(AE48="","",IFERROR(IF(TRIM(INDEX($A48:$X48,MATCH(Lists!$F$9,$A$1:$X$1,0))&amp;"")="","",VALUE(TRIM(INDEX($A48:$X48,MATCH(Lists!$F$9,$A$1:$X$1,0))&amp;""))),""))</f>
        <v/>
      </c>
      <c r="AM48" s="21">
        <f>IF(AE48="","",IFERROR(TRIM(INDEX($A48:$X48,MATCH(Lists!$F$10,$A$1:$X$1,0))&amp;""),""))</f>
        <v/>
      </c>
      <c r="AN48" s="21">
        <f>IF(AE48="","",IF(OR(AM48="Paid",AM48="Partially refunded"),"Paid",IF(Z48="Yes","Paid (by hand)",IF(AM48&lt;&gt;"",AM48,"Unpaid"))))</f>
        <v/>
      </c>
      <c r="AO48" s="21">
        <f>IF(AD48=1,COUNTIFS($AE$2:$AE$301,"&lt;"&amp;AE48,$AD$2:$AD$301,1)+COUNTIF($AE$2:AE48,AE48),"")</f>
        <v/>
      </c>
    </row>
    <row r="49">
      <c r="Y49" s="19" t="n"/>
      <c r="Z49" s="22" t="n"/>
      <c r="AA49" s="22" t="n"/>
      <c r="AB49" s="22" t="n"/>
      <c r="AC49" s="19" t="n"/>
      <c r="AD49" s="21">
        <f>IF(AE49="",0,1)</f>
        <v/>
      </c>
      <c r="AE49" s="21">
        <f>IFERROR(TRIM(INDEX($A49:$X49,MATCH(Lists!$F$2,$A$1:$X$1,0))&amp;""),"")</f>
        <v/>
      </c>
      <c r="AF49" s="21">
        <f>IF(AE49="","",IFERROR(TRIM(INDEX($A49:$X49,MATCH(Lists!$F$3,$A$1:$X$1,0))&amp;""),""))</f>
        <v/>
      </c>
      <c r="AG49" s="21">
        <f>IF(AE49="","",IFERROR(TRIM(INDEX($A49:$X49,MATCH(Lists!$F$4,$A$1:$X$1,0))&amp;""),""))</f>
        <v/>
      </c>
      <c r="AH49" s="21">
        <f>IF(AE49="","",LOWER(IFERROR(TRIM(INDEX($A49:$X49,MATCH(Lists!$F$5,$A$1:$X$1,0))&amp;""),"")))</f>
        <v/>
      </c>
      <c r="AI49" s="21">
        <f>IF(AE49="","",IFERROR(TRIM(INDEX($A49:$X49,MATCH(Lists!$F$6,$A$1:$X$1,0))&amp;""),""))</f>
        <v/>
      </c>
      <c r="AJ49" s="21">
        <f>IF(AE49="","",IF(LEFT(IFERROR(TRIM(INDEX($A49:$X49,MATCH(Lists!$F$7,$A$1:$X$1,0))&amp;""),""),3)="Yes","Yes","No"))</f>
        <v/>
      </c>
      <c r="AK49" s="21">
        <f>IF(AE49="","",IFERROR(TRIM(INDEX($A49:$X49,MATCH(Lists!$F$8,$A$1:$X$1,0))&amp;""),""))</f>
        <v/>
      </c>
      <c r="AL49" s="21">
        <f>IF(AE49="","",IFERROR(IF(TRIM(INDEX($A49:$X49,MATCH(Lists!$F$9,$A$1:$X$1,0))&amp;"")="","",VALUE(TRIM(INDEX($A49:$X49,MATCH(Lists!$F$9,$A$1:$X$1,0))&amp;""))),""))</f>
        <v/>
      </c>
      <c r="AM49" s="21">
        <f>IF(AE49="","",IFERROR(TRIM(INDEX($A49:$X49,MATCH(Lists!$F$10,$A$1:$X$1,0))&amp;""),""))</f>
        <v/>
      </c>
      <c r="AN49" s="21">
        <f>IF(AE49="","",IF(OR(AM49="Paid",AM49="Partially refunded"),"Paid",IF(Z49="Yes","Paid (by hand)",IF(AM49&lt;&gt;"",AM49,"Unpaid"))))</f>
        <v/>
      </c>
      <c r="AO49" s="21">
        <f>IF(AD49=1,COUNTIFS($AE$2:$AE$301,"&lt;"&amp;AE49,$AD$2:$AD$301,1)+COUNTIF($AE$2:AE49,AE49),"")</f>
        <v/>
      </c>
    </row>
    <row r="50">
      <c r="Y50" s="19" t="n"/>
      <c r="Z50" s="22" t="n"/>
      <c r="AA50" s="22" t="n"/>
      <c r="AB50" s="22" t="n"/>
      <c r="AC50" s="19" t="n"/>
      <c r="AD50" s="21">
        <f>IF(AE50="",0,1)</f>
        <v/>
      </c>
      <c r="AE50" s="21">
        <f>IFERROR(TRIM(INDEX($A50:$X50,MATCH(Lists!$F$2,$A$1:$X$1,0))&amp;""),"")</f>
        <v/>
      </c>
      <c r="AF50" s="21">
        <f>IF(AE50="","",IFERROR(TRIM(INDEX($A50:$X50,MATCH(Lists!$F$3,$A$1:$X$1,0))&amp;""),""))</f>
        <v/>
      </c>
      <c r="AG50" s="21">
        <f>IF(AE50="","",IFERROR(TRIM(INDEX($A50:$X50,MATCH(Lists!$F$4,$A$1:$X$1,0))&amp;""),""))</f>
        <v/>
      </c>
      <c r="AH50" s="21">
        <f>IF(AE50="","",LOWER(IFERROR(TRIM(INDEX($A50:$X50,MATCH(Lists!$F$5,$A$1:$X$1,0))&amp;""),"")))</f>
        <v/>
      </c>
      <c r="AI50" s="21">
        <f>IF(AE50="","",IFERROR(TRIM(INDEX($A50:$X50,MATCH(Lists!$F$6,$A$1:$X$1,0))&amp;""),""))</f>
        <v/>
      </c>
      <c r="AJ50" s="21">
        <f>IF(AE50="","",IF(LEFT(IFERROR(TRIM(INDEX($A50:$X50,MATCH(Lists!$F$7,$A$1:$X$1,0))&amp;""),""),3)="Yes","Yes","No"))</f>
        <v/>
      </c>
      <c r="AK50" s="21">
        <f>IF(AE50="","",IFERROR(TRIM(INDEX($A50:$X50,MATCH(Lists!$F$8,$A$1:$X$1,0))&amp;""),""))</f>
        <v/>
      </c>
      <c r="AL50" s="21">
        <f>IF(AE50="","",IFERROR(IF(TRIM(INDEX($A50:$X50,MATCH(Lists!$F$9,$A$1:$X$1,0))&amp;"")="","",VALUE(TRIM(INDEX($A50:$X50,MATCH(Lists!$F$9,$A$1:$X$1,0))&amp;""))),""))</f>
        <v/>
      </c>
      <c r="AM50" s="21">
        <f>IF(AE50="","",IFERROR(TRIM(INDEX($A50:$X50,MATCH(Lists!$F$10,$A$1:$X$1,0))&amp;""),""))</f>
        <v/>
      </c>
      <c r="AN50" s="21">
        <f>IF(AE50="","",IF(OR(AM50="Paid",AM50="Partially refunded"),"Paid",IF(Z50="Yes","Paid (by hand)",IF(AM50&lt;&gt;"",AM50,"Unpaid"))))</f>
        <v/>
      </c>
      <c r="AO50" s="21">
        <f>IF(AD50=1,COUNTIFS($AE$2:$AE$301,"&lt;"&amp;AE50,$AD$2:$AD$301,1)+COUNTIF($AE$2:AE50,AE50),"")</f>
        <v/>
      </c>
    </row>
    <row r="51">
      <c r="Y51" s="19" t="n"/>
      <c r="Z51" s="22" t="n"/>
      <c r="AA51" s="22" t="n"/>
      <c r="AB51" s="22" t="n"/>
      <c r="AC51" s="19" t="n"/>
      <c r="AD51" s="21">
        <f>IF(AE51="",0,1)</f>
        <v/>
      </c>
      <c r="AE51" s="21">
        <f>IFERROR(TRIM(INDEX($A51:$X51,MATCH(Lists!$F$2,$A$1:$X$1,0))&amp;""),"")</f>
        <v/>
      </c>
      <c r="AF51" s="21">
        <f>IF(AE51="","",IFERROR(TRIM(INDEX($A51:$X51,MATCH(Lists!$F$3,$A$1:$X$1,0))&amp;""),""))</f>
        <v/>
      </c>
      <c r="AG51" s="21">
        <f>IF(AE51="","",IFERROR(TRIM(INDEX($A51:$X51,MATCH(Lists!$F$4,$A$1:$X$1,0))&amp;""),""))</f>
        <v/>
      </c>
      <c r="AH51" s="21">
        <f>IF(AE51="","",LOWER(IFERROR(TRIM(INDEX($A51:$X51,MATCH(Lists!$F$5,$A$1:$X$1,0))&amp;""),"")))</f>
        <v/>
      </c>
      <c r="AI51" s="21">
        <f>IF(AE51="","",IFERROR(TRIM(INDEX($A51:$X51,MATCH(Lists!$F$6,$A$1:$X$1,0))&amp;""),""))</f>
        <v/>
      </c>
      <c r="AJ51" s="21">
        <f>IF(AE51="","",IF(LEFT(IFERROR(TRIM(INDEX($A51:$X51,MATCH(Lists!$F$7,$A$1:$X$1,0))&amp;""),""),3)="Yes","Yes","No"))</f>
        <v/>
      </c>
      <c r="AK51" s="21">
        <f>IF(AE51="","",IFERROR(TRIM(INDEX($A51:$X51,MATCH(Lists!$F$8,$A$1:$X$1,0))&amp;""),""))</f>
        <v/>
      </c>
      <c r="AL51" s="21">
        <f>IF(AE51="","",IFERROR(IF(TRIM(INDEX($A51:$X51,MATCH(Lists!$F$9,$A$1:$X$1,0))&amp;"")="","",VALUE(TRIM(INDEX($A51:$X51,MATCH(Lists!$F$9,$A$1:$X$1,0))&amp;""))),""))</f>
        <v/>
      </c>
      <c r="AM51" s="21">
        <f>IF(AE51="","",IFERROR(TRIM(INDEX($A51:$X51,MATCH(Lists!$F$10,$A$1:$X$1,0))&amp;""),""))</f>
        <v/>
      </c>
      <c r="AN51" s="21">
        <f>IF(AE51="","",IF(OR(AM51="Paid",AM51="Partially refunded"),"Paid",IF(Z51="Yes","Paid (by hand)",IF(AM51&lt;&gt;"",AM51,"Unpaid"))))</f>
        <v/>
      </c>
      <c r="AO51" s="21">
        <f>IF(AD51=1,COUNTIFS($AE$2:$AE$301,"&lt;"&amp;AE51,$AD$2:$AD$301,1)+COUNTIF($AE$2:AE51,AE51),"")</f>
        <v/>
      </c>
    </row>
    <row r="52">
      <c r="Y52" s="19" t="n"/>
      <c r="Z52" s="22" t="n"/>
      <c r="AA52" s="22" t="n"/>
      <c r="AB52" s="22" t="n"/>
      <c r="AC52" s="19" t="n"/>
      <c r="AD52" s="21">
        <f>IF(AE52="",0,1)</f>
        <v/>
      </c>
      <c r="AE52" s="21">
        <f>IFERROR(TRIM(INDEX($A52:$X52,MATCH(Lists!$F$2,$A$1:$X$1,0))&amp;""),"")</f>
        <v/>
      </c>
      <c r="AF52" s="21">
        <f>IF(AE52="","",IFERROR(TRIM(INDEX($A52:$X52,MATCH(Lists!$F$3,$A$1:$X$1,0))&amp;""),""))</f>
        <v/>
      </c>
      <c r="AG52" s="21">
        <f>IF(AE52="","",IFERROR(TRIM(INDEX($A52:$X52,MATCH(Lists!$F$4,$A$1:$X$1,0))&amp;""),""))</f>
        <v/>
      </c>
      <c r="AH52" s="21">
        <f>IF(AE52="","",LOWER(IFERROR(TRIM(INDEX($A52:$X52,MATCH(Lists!$F$5,$A$1:$X$1,0))&amp;""),"")))</f>
        <v/>
      </c>
      <c r="AI52" s="21">
        <f>IF(AE52="","",IFERROR(TRIM(INDEX($A52:$X52,MATCH(Lists!$F$6,$A$1:$X$1,0))&amp;""),""))</f>
        <v/>
      </c>
      <c r="AJ52" s="21">
        <f>IF(AE52="","",IF(LEFT(IFERROR(TRIM(INDEX($A52:$X52,MATCH(Lists!$F$7,$A$1:$X$1,0))&amp;""),""),3)="Yes","Yes","No"))</f>
        <v/>
      </c>
      <c r="AK52" s="21">
        <f>IF(AE52="","",IFERROR(TRIM(INDEX($A52:$X52,MATCH(Lists!$F$8,$A$1:$X$1,0))&amp;""),""))</f>
        <v/>
      </c>
      <c r="AL52" s="21">
        <f>IF(AE52="","",IFERROR(IF(TRIM(INDEX($A52:$X52,MATCH(Lists!$F$9,$A$1:$X$1,0))&amp;"")="","",VALUE(TRIM(INDEX($A52:$X52,MATCH(Lists!$F$9,$A$1:$X$1,0))&amp;""))),""))</f>
        <v/>
      </c>
      <c r="AM52" s="21">
        <f>IF(AE52="","",IFERROR(TRIM(INDEX($A52:$X52,MATCH(Lists!$F$10,$A$1:$X$1,0))&amp;""),""))</f>
        <v/>
      </c>
      <c r="AN52" s="21">
        <f>IF(AE52="","",IF(OR(AM52="Paid",AM52="Partially refunded"),"Paid",IF(Z52="Yes","Paid (by hand)",IF(AM52&lt;&gt;"",AM52,"Unpaid"))))</f>
        <v/>
      </c>
      <c r="AO52" s="21">
        <f>IF(AD52=1,COUNTIFS($AE$2:$AE$301,"&lt;"&amp;AE52,$AD$2:$AD$301,1)+COUNTIF($AE$2:AE52,AE52),"")</f>
        <v/>
      </c>
    </row>
    <row r="53">
      <c r="Y53" s="19" t="n"/>
      <c r="Z53" s="22" t="n"/>
      <c r="AA53" s="22" t="n"/>
      <c r="AB53" s="22" t="n"/>
      <c r="AC53" s="19" t="n"/>
      <c r="AD53" s="21">
        <f>IF(AE53="",0,1)</f>
        <v/>
      </c>
      <c r="AE53" s="21">
        <f>IFERROR(TRIM(INDEX($A53:$X53,MATCH(Lists!$F$2,$A$1:$X$1,0))&amp;""),"")</f>
        <v/>
      </c>
      <c r="AF53" s="21">
        <f>IF(AE53="","",IFERROR(TRIM(INDEX($A53:$X53,MATCH(Lists!$F$3,$A$1:$X$1,0))&amp;""),""))</f>
        <v/>
      </c>
      <c r="AG53" s="21">
        <f>IF(AE53="","",IFERROR(TRIM(INDEX($A53:$X53,MATCH(Lists!$F$4,$A$1:$X$1,0))&amp;""),""))</f>
        <v/>
      </c>
      <c r="AH53" s="21">
        <f>IF(AE53="","",LOWER(IFERROR(TRIM(INDEX($A53:$X53,MATCH(Lists!$F$5,$A$1:$X$1,0))&amp;""),"")))</f>
        <v/>
      </c>
      <c r="AI53" s="21">
        <f>IF(AE53="","",IFERROR(TRIM(INDEX($A53:$X53,MATCH(Lists!$F$6,$A$1:$X$1,0))&amp;""),""))</f>
        <v/>
      </c>
      <c r="AJ53" s="21">
        <f>IF(AE53="","",IF(LEFT(IFERROR(TRIM(INDEX($A53:$X53,MATCH(Lists!$F$7,$A$1:$X$1,0))&amp;""),""),3)="Yes","Yes","No"))</f>
        <v/>
      </c>
      <c r="AK53" s="21">
        <f>IF(AE53="","",IFERROR(TRIM(INDEX($A53:$X53,MATCH(Lists!$F$8,$A$1:$X$1,0))&amp;""),""))</f>
        <v/>
      </c>
      <c r="AL53" s="21">
        <f>IF(AE53="","",IFERROR(IF(TRIM(INDEX($A53:$X53,MATCH(Lists!$F$9,$A$1:$X$1,0))&amp;"")="","",VALUE(TRIM(INDEX($A53:$X53,MATCH(Lists!$F$9,$A$1:$X$1,0))&amp;""))),""))</f>
        <v/>
      </c>
      <c r="AM53" s="21">
        <f>IF(AE53="","",IFERROR(TRIM(INDEX($A53:$X53,MATCH(Lists!$F$10,$A$1:$X$1,0))&amp;""),""))</f>
        <v/>
      </c>
      <c r="AN53" s="21">
        <f>IF(AE53="","",IF(OR(AM53="Paid",AM53="Partially refunded"),"Paid",IF(Z53="Yes","Paid (by hand)",IF(AM53&lt;&gt;"",AM53,"Unpaid"))))</f>
        <v/>
      </c>
      <c r="AO53" s="21">
        <f>IF(AD53=1,COUNTIFS($AE$2:$AE$301,"&lt;"&amp;AE53,$AD$2:$AD$301,1)+COUNTIF($AE$2:AE53,AE53),"")</f>
        <v/>
      </c>
    </row>
    <row r="54">
      <c r="Y54" s="19" t="n"/>
      <c r="Z54" s="22" t="n"/>
      <c r="AA54" s="22" t="n"/>
      <c r="AB54" s="22" t="n"/>
      <c r="AC54" s="19" t="n"/>
      <c r="AD54" s="21">
        <f>IF(AE54="",0,1)</f>
        <v/>
      </c>
      <c r="AE54" s="21">
        <f>IFERROR(TRIM(INDEX($A54:$X54,MATCH(Lists!$F$2,$A$1:$X$1,0))&amp;""),"")</f>
        <v/>
      </c>
      <c r="AF54" s="21">
        <f>IF(AE54="","",IFERROR(TRIM(INDEX($A54:$X54,MATCH(Lists!$F$3,$A$1:$X$1,0))&amp;""),""))</f>
        <v/>
      </c>
      <c r="AG54" s="21">
        <f>IF(AE54="","",IFERROR(TRIM(INDEX($A54:$X54,MATCH(Lists!$F$4,$A$1:$X$1,0))&amp;""),""))</f>
        <v/>
      </c>
      <c r="AH54" s="21">
        <f>IF(AE54="","",LOWER(IFERROR(TRIM(INDEX($A54:$X54,MATCH(Lists!$F$5,$A$1:$X$1,0))&amp;""),"")))</f>
        <v/>
      </c>
      <c r="AI54" s="21">
        <f>IF(AE54="","",IFERROR(TRIM(INDEX($A54:$X54,MATCH(Lists!$F$6,$A$1:$X$1,0))&amp;""),""))</f>
        <v/>
      </c>
      <c r="AJ54" s="21">
        <f>IF(AE54="","",IF(LEFT(IFERROR(TRIM(INDEX($A54:$X54,MATCH(Lists!$F$7,$A$1:$X$1,0))&amp;""),""),3)="Yes","Yes","No"))</f>
        <v/>
      </c>
      <c r="AK54" s="21">
        <f>IF(AE54="","",IFERROR(TRIM(INDEX($A54:$X54,MATCH(Lists!$F$8,$A$1:$X$1,0))&amp;""),""))</f>
        <v/>
      </c>
      <c r="AL54" s="21">
        <f>IF(AE54="","",IFERROR(IF(TRIM(INDEX($A54:$X54,MATCH(Lists!$F$9,$A$1:$X$1,0))&amp;"")="","",VALUE(TRIM(INDEX($A54:$X54,MATCH(Lists!$F$9,$A$1:$X$1,0))&amp;""))),""))</f>
        <v/>
      </c>
      <c r="AM54" s="21">
        <f>IF(AE54="","",IFERROR(TRIM(INDEX($A54:$X54,MATCH(Lists!$F$10,$A$1:$X$1,0))&amp;""),""))</f>
        <v/>
      </c>
      <c r="AN54" s="21">
        <f>IF(AE54="","",IF(OR(AM54="Paid",AM54="Partially refunded"),"Paid",IF(Z54="Yes","Paid (by hand)",IF(AM54&lt;&gt;"",AM54,"Unpaid"))))</f>
        <v/>
      </c>
      <c r="AO54" s="21">
        <f>IF(AD54=1,COUNTIFS($AE$2:$AE$301,"&lt;"&amp;AE54,$AD$2:$AD$301,1)+COUNTIF($AE$2:AE54,AE54),"")</f>
        <v/>
      </c>
    </row>
    <row r="55">
      <c r="Y55" s="19" t="n"/>
      <c r="Z55" s="22" t="n"/>
      <c r="AA55" s="22" t="n"/>
      <c r="AB55" s="22" t="n"/>
      <c r="AC55" s="19" t="n"/>
      <c r="AD55" s="21">
        <f>IF(AE55="",0,1)</f>
        <v/>
      </c>
      <c r="AE55" s="21">
        <f>IFERROR(TRIM(INDEX($A55:$X55,MATCH(Lists!$F$2,$A$1:$X$1,0))&amp;""),"")</f>
        <v/>
      </c>
      <c r="AF55" s="21">
        <f>IF(AE55="","",IFERROR(TRIM(INDEX($A55:$X55,MATCH(Lists!$F$3,$A$1:$X$1,0))&amp;""),""))</f>
        <v/>
      </c>
      <c r="AG55" s="21">
        <f>IF(AE55="","",IFERROR(TRIM(INDEX($A55:$X55,MATCH(Lists!$F$4,$A$1:$X$1,0))&amp;""),""))</f>
        <v/>
      </c>
      <c r="AH55" s="21">
        <f>IF(AE55="","",LOWER(IFERROR(TRIM(INDEX($A55:$X55,MATCH(Lists!$F$5,$A$1:$X$1,0))&amp;""),"")))</f>
        <v/>
      </c>
      <c r="AI55" s="21">
        <f>IF(AE55="","",IFERROR(TRIM(INDEX($A55:$X55,MATCH(Lists!$F$6,$A$1:$X$1,0))&amp;""),""))</f>
        <v/>
      </c>
      <c r="AJ55" s="21">
        <f>IF(AE55="","",IF(LEFT(IFERROR(TRIM(INDEX($A55:$X55,MATCH(Lists!$F$7,$A$1:$X$1,0))&amp;""),""),3)="Yes","Yes","No"))</f>
        <v/>
      </c>
      <c r="AK55" s="21">
        <f>IF(AE55="","",IFERROR(TRIM(INDEX($A55:$X55,MATCH(Lists!$F$8,$A$1:$X$1,0))&amp;""),""))</f>
        <v/>
      </c>
      <c r="AL55" s="21">
        <f>IF(AE55="","",IFERROR(IF(TRIM(INDEX($A55:$X55,MATCH(Lists!$F$9,$A$1:$X$1,0))&amp;"")="","",VALUE(TRIM(INDEX($A55:$X55,MATCH(Lists!$F$9,$A$1:$X$1,0))&amp;""))),""))</f>
        <v/>
      </c>
      <c r="AM55" s="21">
        <f>IF(AE55="","",IFERROR(TRIM(INDEX($A55:$X55,MATCH(Lists!$F$10,$A$1:$X$1,0))&amp;""),""))</f>
        <v/>
      </c>
      <c r="AN55" s="21">
        <f>IF(AE55="","",IF(OR(AM55="Paid",AM55="Partially refunded"),"Paid",IF(Z55="Yes","Paid (by hand)",IF(AM55&lt;&gt;"",AM55,"Unpaid"))))</f>
        <v/>
      </c>
      <c r="AO55" s="21">
        <f>IF(AD55=1,COUNTIFS($AE$2:$AE$301,"&lt;"&amp;AE55,$AD$2:$AD$301,1)+COUNTIF($AE$2:AE55,AE55),"")</f>
        <v/>
      </c>
    </row>
    <row r="56">
      <c r="Y56" s="19" t="n"/>
      <c r="Z56" s="22" t="n"/>
      <c r="AA56" s="22" t="n"/>
      <c r="AB56" s="22" t="n"/>
      <c r="AC56" s="19" t="n"/>
      <c r="AD56" s="21">
        <f>IF(AE56="",0,1)</f>
        <v/>
      </c>
      <c r="AE56" s="21">
        <f>IFERROR(TRIM(INDEX($A56:$X56,MATCH(Lists!$F$2,$A$1:$X$1,0))&amp;""),"")</f>
        <v/>
      </c>
      <c r="AF56" s="21">
        <f>IF(AE56="","",IFERROR(TRIM(INDEX($A56:$X56,MATCH(Lists!$F$3,$A$1:$X$1,0))&amp;""),""))</f>
        <v/>
      </c>
      <c r="AG56" s="21">
        <f>IF(AE56="","",IFERROR(TRIM(INDEX($A56:$X56,MATCH(Lists!$F$4,$A$1:$X$1,0))&amp;""),""))</f>
        <v/>
      </c>
      <c r="AH56" s="21">
        <f>IF(AE56="","",LOWER(IFERROR(TRIM(INDEX($A56:$X56,MATCH(Lists!$F$5,$A$1:$X$1,0))&amp;""),"")))</f>
        <v/>
      </c>
      <c r="AI56" s="21">
        <f>IF(AE56="","",IFERROR(TRIM(INDEX($A56:$X56,MATCH(Lists!$F$6,$A$1:$X$1,0))&amp;""),""))</f>
        <v/>
      </c>
      <c r="AJ56" s="21">
        <f>IF(AE56="","",IF(LEFT(IFERROR(TRIM(INDEX($A56:$X56,MATCH(Lists!$F$7,$A$1:$X$1,0))&amp;""),""),3)="Yes","Yes","No"))</f>
        <v/>
      </c>
      <c r="AK56" s="21">
        <f>IF(AE56="","",IFERROR(TRIM(INDEX($A56:$X56,MATCH(Lists!$F$8,$A$1:$X$1,0))&amp;""),""))</f>
        <v/>
      </c>
      <c r="AL56" s="21">
        <f>IF(AE56="","",IFERROR(IF(TRIM(INDEX($A56:$X56,MATCH(Lists!$F$9,$A$1:$X$1,0))&amp;"")="","",VALUE(TRIM(INDEX($A56:$X56,MATCH(Lists!$F$9,$A$1:$X$1,0))&amp;""))),""))</f>
        <v/>
      </c>
      <c r="AM56" s="21">
        <f>IF(AE56="","",IFERROR(TRIM(INDEX($A56:$X56,MATCH(Lists!$F$10,$A$1:$X$1,0))&amp;""),""))</f>
        <v/>
      </c>
      <c r="AN56" s="21">
        <f>IF(AE56="","",IF(OR(AM56="Paid",AM56="Partially refunded"),"Paid",IF(Z56="Yes","Paid (by hand)",IF(AM56&lt;&gt;"",AM56,"Unpaid"))))</f>
        <v/>
      </c>
      <c r="AO56" s="21">
        <f>IF(AD56=1,COUNTIFS($AE$2:$AE$301,"&lt;"&amp;AE56,$AD$2:$AD$301,1)+COUNTIF($AE$2:AE56,AE56),"")</f>
        <v/>
      </c>
    </row>
    <row r="57">
      <c r="Y57" s="19" t="n"/>
      <c r="Z57" s="22" t="n"/>
      <c r="AA57" s="22" t="n"/>
      <c r="AB57" s="22" t="n"/>
      <c r="AC57" s="19" t="n"/>
      <c r="AD57" s="21">
        <f>IF(AE57="",0,1)</f>
        <v/>
      </c>
      <c r="AE57" s="21">
        <f>IFERROR(TRIM(INDEX($A57:$X57,MATCH(Lists!$F$2,$A$1:$X$1,0))&amp;""),"")</f>
        <v/>
      </c>
      <c r="AF57" s="21">
        <f>IF(AE57="","",IFERROR(TRIM(INDEX($A57:$X57,MATCH(Lists!$F$3,$A$1:$X$1,0))&amp;""),""))</f>
        <v/>
      </c>
      <c r="AG57" s="21">
        <f>IF(AE57="","",IFERROR(TRIM(INDEX($A57:$X57,MATCH(Lists!$F$4,$A$1:$X$1,0))&amp;""),""))</f>
        <v/>
      </c>
      <c r="AH57" s="21">
        <f>IF(AE57="","",LOWER(IFERROR(TRIM(INDEX($A57:$X57,MATCH(Lists!$F$5,$A$1:$X$1,0))&amp;""),"")))</f>
        <v/>
      </c>
      <c r="AI57" s="21">
        <f>IF(AE57="","",IFERROR(TRIM(INDEX($A57:$X57,MATCH(Lists!$F$6,$A$1:$X$1,0))&amp;""),""))</f>
        <v/>
      </c>
      <c r="AJ57" s="21">
        <f>IF(AE57="","",IF(LEFT(IFERROR(TRIM(INDEX($A57:$X57,MATCH(Lists!$F$7,$A$1:$X$1,0))&amp;""),""),3)="Yes","Yes","No"))</f>
        <v/>
      </c>
      <c r="AK57" s="21">
        <f>IF(AE57="","",IFERROR(TRIM(INDEX($A57:$X57,MATCH(Lists!$F$8,$A$1:$X$1,0))&amp;""),""))</f>
        <v/>
      </c>
      <c r="AL57" s="21">
        <f>IF(AE57="","",IFERROR(IF(TRIM(INDEX($A57:$X57,MATCH(Lists!$F$9,$A$1:$X$1,0))&amp;"")="","",VALUE(TRIM(INDEX($A57:$X57,MATCH(Lists!$F$9,$A$1:$X$1,0))&amp;""))),""))</f>
        <v/>
      </c>
      <c r="AM57" s="21">
        <f>IF(AE57="","",IFERROR(TRIM(INDEX($A57:$X57,MATCH(Lists!$F$10,$A$1:$X$1,0))&amp;""),""))</f>
        <v/>
      </c>
      <c r="AN57" s="21">
        <f>IF(AE57="","",IF(OR(AM57="Paid",AM57="Partially refunded"),"Paid",IF(Z57="Yes","Paid (by hand)",IF(AM57&lt;&gt;"",AM57,"Unpaid"))))</f>
        <v/>
      </c>
      <c r="AO57" s="21">
        <f>IF(AD57=1,COUNTIFS($AE$2:$AE$301,"&lt;"&amp;AE57,$AD$2:$AD$301,1)+COUNTIF($AE$2:AE57,AE57),"")</f>
        <v/>
      </c>
    </row>
    <row r="58">
      <c r="Y58" s="19" t="n"/>
      <c r="Z58" s="22" t="n"/>
      <c r="AA58" s="22" t="n"/>
      <c r="AB58" s="22" t="n"/>
      <c r="AC58" s="19" t="n"/>
      <c r="AD58" s="21">
        <f>IF(AE58="",0,1)</f>
        <v/>
      </c>
      <c r="AE58" s="21">
        <f>IFERROR(TRIM(INDEX($A58:$X58,MATCH(Lists!$F$2,$A$1:$X$1,0))&amp;""),"")</f>
        <v/>
      </c>
      <c r="AF58" s="21">
        <f>IF(AE58="","",IFERROR(TRIM(INDEX($A58:$X58,MATCH(Lists!$F$3,$A$1:$X$1,0))&amp;""),""))</f>
        <v/>
      </c>
      <c r="AG58" s="21">
        <f>IF(AE58="","",IFERROR(TRIM(INDEX($A58:$X58,MATCH(Lists!$F$4,$A$1:$X$1,0))&amp;""),""))</f>
        <v/>
      </c>
      <c r="AH58" s="21">
        <f>IF(AE58="","",LOWER(IFERROR(TRIM(INDEX($A58:$X58,MATCH(Lists!$F$5,$A$1:$X$1,0))&amp;""),"")))</f>
        <v/>
      </c>
      <c r="AI58" s="21">
        <f>IF(AE58="","",IFERROR(TRIM(INDEX($A58:$X58,MATCH(Lists!$F$6,$A$1:$X$1,0))&amp;""),""))</f>
        <v/>
      </c>
      <c r="AJ58" s="21">
        <f>IF(AE58="","",IF(LEFT(IFERROR(TRIM(INDEX($A58:$X58,MATCH(Lists!$F$7,$A$1:$X$1,0))&amp;""),""),3)="Yes","Yes","No"))</f>
        <v/>
      </c>
      <c r="AK58" s="21">
        <f>IF(AE58="","",IFERROR(TRIM(INDEX($A58:$X58,MATCH(Lists!$F$8,$A$1:$X$1,0))&amp;""),""))</f>
        <v/>
      </c>
      <c r="AL58" s="21">
        <f>IF(AE58="","",IFERROR(IF(TRIM(INDEX($A58:$X58,MATCH(Lists!$F$9,$A$1:$X$1,0))&amp;"")="","",VALUE(TRIM(INDEX($A58:$X58,MATCH(Lists!$F$9,$A$1:$X$1,0))&amp;""))),""))</f>
        <v/>
      </c>
      <c r="AM58" s="21">
        <f>IF(AE58="","",IFERROR(TRIM(INDEX($A58:$X58,MATCH(Lists!$F$10,$A$1:$X$1,0))&amp;""),""))</f>
        <v/>
      </c>
      <c r="AN58" s="21">
        <f>IF(AE58="","",IF(OR(AM58="Paid",AM58="Partially refunded"),"Paid",IF(Z58="Yes","Paid (by hand)",IF(AM58&lt;&gt;"",AM58,"Unpaid"))))</f>
        <v/>
      </c>
      <c r="AO58" s="21">
        <f>IF(AD58=1,COUNTIFS($AE$2:$AE$301,"&lt;"&amp;AE58,$AD$2:$AD$301,1)+COUNTIF($AE$2:AE58,AE58),"")</f>
        <v/>
      </c>
    </row>
    <row r="59">
      <c r="Y59" s="19" t="n"/>
      <c r="Z59" s="22" t="n"/>
      <c r="AA59" s="22" t="n"/>
      <c r="AB59" s="22" t="n"/>
      <c r="AC59" s="19" t="n"/>
      <c r="AD59" s="21">
        <f>IF(AE59="",0,1)</f>
        <v/>
      </c>
      <c r="AE59" s="21">
        <f>IFERROR(TRIM(INDEX($A59:$X59,MATCH(Lists!$F$2,$A$1:$X$1,0))&amp;""),"")</f>
        <v/>
      </c>
      <c r="AF59" s="21">
        <f>IF(AE59="","",IFERROR(TRIM(INDEX($A59:$X59,MATCH(Lists!$F$3,$A$1:$X$1,0))&amp;""),""))</f>
        <v/>
      </c>
      <c r="AG59" s="21">
        <f>IF(AE59="","",IFERROR(TRIM(INDEX($A59:$X59,MATCH(Lists!$F$4,$A$1:$X$1,0))&amp;""),""))</f>
        <v/>
      </c>
      <c r="AH59" s="21">
        <f>IF(AE59="","",LOWER(IFERROR(TRIM(INDEX($A59:$X59,MATCH(Lists!$F$5,$A$1:$X$1,0))&amp;""),"")))</f>
        <v/>
      </c>
      <c r="AI59" s="21">
        <f>IF(AE59="","",IFERROR(TRIM(INDEX($A59:$X59,MATCH(Lists!$F$6,$A$1:$X$1,0))&amp;""),""))</f>
        <v/>
      </c>
      <c r="AJ59" s="21">
        <f>IF(AE59="","",IF(LEFT(IFERROR(TRIM(INDEX($A59:$X59,MATCH(Lists!$F$7,$A$1:$X$1,0))&amp;""),""),3)="Yes","Yes","No"))</f>
        <v/>
      </c>
      <c r="AK59" s="21">
        <f>IF(AE59="","",IFERROR(TRIM(INDEX($A59:$X59,MATCH(Lists!$F$8,$A$1:$X$1,0))&amp;""),""))</f>
        <v/>
      </c>
      <c r="AL59" s="21">
        <f>IF(AE59="","",IFERROR(IF(TRIM(INDEX($A59:$X59,MATCH(Lists!$F$9,$A$1:$X$1,0))&amp;"")="","",VALUE(TRIM(INDEX($A59:$X59,MATCH(Lists!$F$9,$A$1:$X$1,0))&amp;""))),""))</f>
        <v/>
      </c>
      <c r="AM59" s="21">
        <f>IF(AE59="","",IFERROR(TRIM(INDEX($A59:$X59,MATCH(Lists!$F$10,$A$1:$X$1,0))&amp;""),""))</f>
        <v/>
      </c>
      <c r="AN59" s="21">
        <f>IF(AE59="","",IF(OR(AM59="Paid",AM59="Partially refunded"),"Paid",IF(Z59="Yes","Paid (by hand)",IF(AM59&lt;&gt;"",AM59,"Unpaid"))))</f>
        <v/>
      </c>
      <c r="AO59" s="21">
        <f>IF(AD59=1,COUNTIFS($AE$2:$AE$301,"&lt;"&amp;AE59,$AD$2:$AD$301,1)+COUNTIF($AE$2:AE59,AE59),"")</f>
        <v/>
      </c>
    </row>
    <row r="60">
      <c r="Y60" s="19" t="n"/>
      <c r="Z60" s="22" t="n"/>
      <c r="AA60" s="22" t="n"/>
      <c r="AB60" s="22" t="n"/>
      <c r="AC60" s="19" t="n"/>
      <c r="AD60" s="21">
        <f>IF(AE60="",0,1)</f>
        <v/>
      </c>
      <c r="AE60" s="21">
        <f>IFERROR(TRIM(INDEX($A60:$X60,MATCH(Lists!$F$2,$A$1:$X$1,0))&amp;""),"")</f>
        <v/>
      </c>
      <c r="AF60" s="21">
        <f>IF(AE60="","",IFERROR(TRIM(INDEX($A60:$X60,MATCH(Lists!$F$3,$A$1:$X$1,0))&amp;""),""))</f>
        <v/>
      </c>
      <c r="AG60" s="21">
        <f>IF(AE60="","",IFERROR(TRIM(INDEX($A60:$X60,MATCH(Lists!$F$4,$A$1:$X$1,0))&amp;""),""))</f>
        <v/>
      </c>
      <c r="AH60" s="21">
        <f>IF(AE60="","",LOWER(IFERROR(TRIM(INDEX($A60:$X60,MATCH(Lists!$F$5,$A$1:$X$1,0))&amp;""),"")))</f>
        <v/>
      </c>
      <c r="AI60" s="21">
        <f>IF(AE60="","",IFERROR(TRIM(INDEX($A60:$X60,MATCH(Lists!$F$6,$A$1:$X$1,0))&amp;""),""))</f>
        <v/>
      </c>
      <c r="AJ60" s="21">
        <f>IF(AE60="","",IF(LEFT(IFERROR(TRIM(INDEX($A60:$X60,MATCH(Lists!$F$7,$A$1:$X$1,0))&amp;""),""),3)="Yes","Yes","No"))</f>
        <v/>
      </c>
      <c r="AK60" s="21">
        <f>IF(AE60="","",IFERROR(TRIM(INDEX($A60:$X60,MATCH(Lists!$F$8,$A$1:$X$1,0))&amp;""),""))</f>
        <v/>
      </c>
      <c r="AL60" s="21">
        <f>IF(AE60="","",IFERROR(IF(TRIM(INDEX($A60:$X60,MATCH(Lists!$F$9,$A$1:$X$1,0))&amp;"")="","",VALUE(TRIM(INDEX($A60:$X60,MATCH(Lists!$F$9,$A$1:$X$1,0))&amp;""))),""))</f>
        <v/>
      </c>
      <c r="AM60" s="21">
        <f>IF(AE60="","",IFERROR(TRIM(INDEX($A60:$X60,MATCH(Lists!$F$10,$A$1:$X$1,0))&amp;""),""))</f>
        <v/>
      </c>
      <c r="AN60" s="21">
        <f>IF(AE60="","",IF(OR(AM60="Paid",AM60="Partially refunded"),"Paid",IF(Z60="Yes","Paid (by hand)",IF(AM60&lt;&gt;"",AM60,"Unpaid"))))</f>
        <v/>
      </c>
      <c r="AO60" s="21">
        <f>IF(AD60=1,COUNTIFS($AE$2:$AE$301,"&lt;"&amp;AE60,$AD$2:$AD$301,1)+COUNTIF($AE$2:AE60,AE60),"")</f>
        <v/>
      </c>
    </row>
    <row r="61">
      <c r="Y61" s="19" t="n"/>
      <c r="Z61" s="22" t="n"/>
      <c r="AA61" s="22" t="n"/>
      <c r="AB61" s="22" t="n"/>
      <c r="AC61" s="19" t="n"/>
      <c r="AD61" s="21">
        <f>IF(AE61="",0,1)</f>
        <v/>
      </c>
      <c r="AE61" s="21">
        <f>IFERROR(TRIM(INDEX($A61:$X61,MATCH(Lists!$F$2,$A$1:$X$1,0))&amp;""),"")</f>
        <v/>
      </c>
      <c r="AF61" s="21">
        <f>IF(AE61="","",IFERROR(TRIM(INDEX($A61:$X61,MATCH(Lists!$F$3,$A$1:$X$1,0))&amp;""),""))</f>
        <v/>
      </c>
      <c r="AG61" s="21">
        <f>IF(AE61="","",IFERROR(TRIM(INDEX($A61:$X61,MATCH(Lists!$F$4,$A$1:$X$1,0))&amp;""),""))</f>
        <v/>
      </c>
      <c r="AH61" s="21">
        <f>IF(AE61="","",LOWER(IFERROR(TRIM(INDEX($A61:$X61,MATCH(Lists!$F$5,$A$1:$X$1,0))&amp;""),"")))</f>
        <v/>
      </c>
      <c r="AI61" s="21">
        <f>IF(AE61="","",IFERROR(TRIM(INDEX($A61:$X61,MATCH(Lists!$F$6,$A$1:$X$1,0))&amp;""),""))</f>
        <v/>
      </c>
      <c r="AJ61" s="21">
        <f>IF(AE61="","",IF(LEFT(IFERROR(TRIM(INDEX($A61:$X61,MATCH(Lists!$F$7,$A$1:$X$1,0))&amp;""),""),3)="Yes","Yes","No"))</f>
        <v/>
      </c>
      <c r="AK61" s="21">
        <f>IF(AE61="","",IFERROR(TRIM(INDEX($A61:$X61,MATCH(Lists!$F$8,$A$1:$X$1,0))&amp;""),""))</f>
        <v/>
      </c>
      <c r="AL61" s="21">
        <f>IF(AE61="","",IFERROR(IF(TRIM(INDEX($A61:$X61,MATCH(Lists!$F$9,$A$1:$X$1,0))&amp;"")="","",VALUE(TRIM(INDEX($A61:$X61,MATCH(Lists!$F$9,$A$1:$X$1,0))&amp;""))),""))</f>
        <v/>
      </c>
      <c r="AM61" s="21">
        <f>IF(AE61="","",IFERROR(TRIM(INDEX($A61:$X61,MATCH(Lists!$F$10,$A$1:$X$1,0))&amp;""),""))</f>
        <v/>
      </c>
      <c r="AN61" s="21">
        <f>IF(AE61="","",IF(OR(AM61="Paid",AM61="Partially refunded"),"Paid",IF(Z61="Yes","Paid (by hand)",IF(AM61&lt;&gt;"",AM61,"Unpaid"))))</f>
        <v/>
      </c>
      <c r="AO61" s="21">
        <f>IF(AD61=1,COUNTIFS($AE$2:$AE$301,"&lt;"&amp;AE61,$AD$2:$AD$301,1)+COUNTIF($AE$2:AE61,AE61),"")</f>
        <v/>
      </c>
    </row>
    <row r="62">
      <c r="Y62" s="19" t="n"/>
      <c r="Z62" s="22" t="n"/>
      <c r="AA62" s="22" t="n"/>
      <c r="AB62" s="22" t="n"/>
      <c r="AC62" s="19" t="n"/>
      <c r="AD62" s="21">
        <f>IF(AE62="",0,1)</f>
        <v/>
      </c>
      <c r="AE62" s="21">
        <f>IFERROR(TRIM(INDEX($A62:$X62,MATCH(Lists!$F$2,$A$1:$X$1,0))&amp;""),"")</f>
        <v/>
      </c>
      <c r="AF62" s="21">
        <f>IF(AE62="","",IFERROR(TRIM(INDEX($A62:$X62,MATCH(Lists!$F$3,$A$1:$X$1,0))&amp;""),""))</f>
        <v/>
      </c>
      <c r="AG62" s="21">
        <f>IF(AE62="","",IFERROR(TRIM(INDEX($A62:$X62,MATCH(Lists!$F$4,$A$1:$X$1,0))&amp;""),""))</f>
        <v/>
      </c>
      <c r="AH62" s="21">
        <f>IF(AE62="","",LOWER(IFERROR(TRIM(INDEX($A62:$X62,MATCH(Lists!$F$5,$A$1:$X$1,0))&amp;""),"")))</f>
        <v/>
      </c>
      <c r="AI62" s="21">
        <f>IF(AE62="","",IFERROR(TRIM(INDEX($A62:$X62,MATCH(Lists!$F$6,$A$1:$X$1,0))&amp;""),""))</f>
        <v/>
      </c>
      <c r="AJ62" s="21">
        <f>IF(AE62="","",IF(LEFT(IFERROR(TRIM(INDEX($A62:$X62,MATCH(Lists!$F$7,$A$1:$X$1,0))&amp;""),""),3)="Yes","Yes","No"))</f>
        <v/>
      </c>
      <c r="AK62" s="21">
        <f>IF(AE62="","",IFERROR(TRIM(INDEX($A62:$X62,MATCH(Lists!$F$8,$A$1:$X$1,0))&amp;""),""))</f>
        <v/>
      </c>
      <c r="AL62" s="21">
        <f>IF(AE62="","",IFERROR(IF(TRIM(INDEX($A62:$X62,MATCH(Lists!$F$9,$A$1:$X$1,0))&amp;"")="","",VALUE(TRIM(INDEX($A62:$X62,MATCH(Lists!$F$9,$A$1:$X$1,0))&amp;""))),""))</f>
        <v/>
      </c>
      <c r="AM62" s="21">
        <f>IF(AE62="","",IFERROR(TRIM(INDEX($A62:$X62,MATCH(Lists!$F$10,$A$1:$X$1,0))&amp;""),""))</f>
        <v/>
      </c>
      <c r="AN62" s="21">
        <f>IF(AE62="","",IF(OR(AM62="Paid",AM62="Partially refunded"),"Paid",IF(Z62="Yes","Paid (by hand)",IF(AM62&lt;&gt;"",AM62,"Unpaid"))))</f>
        <v/>
      </c>
      <c r="AO62" s="21">
        <f>IF(AD62=1,COUNTIFS($AE$2:$AE$301,"&lt;"&amp;AE62,$AD$2:$AD$301,1)+COUNTIF($AE$2:AE62,AE62),"")</f>
        <v/>
      </c>
    </row>
    <row r="63">
      <c r="Y63" s="19" t="n"/>
      <c r="Z63" s="22" t="n"/>
      <c r="AA63" s="22" t="n"/>
      <c r="AB63" s="22" t="n"/>
      <c r="AC63" s="19" t="n"/>
      <c r="AD63" s="21">
        <f>IF(AE63="",0,1)</f>
        <v/>
      </c>
      <c r="AE63" s="21">
        <f>IFERROR(TRIM(INDEX($A63:$X63,MATCH(Lists!$F$2,$A$1:$X$1,0))&amp;""),"")</f>
        <v/>
      </c>
      <c r="AF63" s="21">
        <f>IF(AE63="","",IFERROR(TRIM(INDEX($A63:$X63,MATCH(Lists!$F$3,$A$1:$X$1,0))&amp;""),""))</f>
        <v/>
      </c>
      <c r="AG63" s="21">
        <f>IF(AE63="","",IFERROR(TRIM(INDEX($A63:$X63,MATCH(Lists!$F$4,$A$1:$X$1,0))&amp;""),""))</f>
        <v/>
      </c>
      <c r="AH63" s="21">
        <f>IF(AE63="","",LOWER(IFERROR(TRIM(INDEX($A63:$X63,MATCH(Lists!$F$5,$A$1:$X$1,0))&amp;""),"")))</f>
        <v/>
      </c>
      <c r="AI63" s="21">
        <f>IF(AE63="","",IFERROR(TRIM(INDEX($A63:$X63,MATCH(Lists!$F$6,$A$1:$X$1,0))&amp;""),""))</f>
        <v/>
      </c>
      <c r="AJ63" s="21">
        <f>IF(AE63="","",IF(LEFT(IFERROR(TRIM(INDEX($A63:$X63,MATCH(Lists!$F$7,$A$1:$X$1,0))&amp;""),""),3)="Yes","Yes","No"))</f>
        <v/>
      </c>
      <c r="AK63" s="21">
        <f>IF(AE63="","",IFERROR(TRIM(INDEX($A63:$X63,MATCH(Lists!$F$8,$A$1:$X$1,0))&amp;""),""))</f>
        <v/>
      </c>
      <c r="AL63" s="21">
        <f>IF(AE63="","",IFERROR(IF(TRIM(INDEX($A63:$X63,MATCH(Lists!$F$9,$A$1:$X$1,0))&amp;"")="","",VALUE(TRIM(INDEX($A63:$X63,MATCH(Lists!$F$9,$A$1:$X$1,0))&amp;""))),""))</f>
        <v/>
      </c>
      <c r="AM63" s="21">
        <f>IF(AE63="","",IFERROR(TRIM(INDEX($A63:$X63,MATCH(Lists!$F$10,$A$1:$X$1,0))&amp;""),""))</f>
        <v/>
      </c>
      <c r="AN63" s="21">
        <f>IF(AE63="","",IF(OR(AM63="Paid",AM63="Partially refunded"),"Paid",IF(Z63="Yes","Paid (by hand)",IF(AM63&lt;&gt;"",AM63,"Unpaid"))))</f>
        <v/>
      </c>
      <c r="AO63" s="21">
        <f>IF(AD63=1,COUNTIFS($AE$2:$AE$301,"&lt;"&amp;AE63,$AD$2:$AD$301,1)+COUNTIF($AE$2:AE63,AE63),"")</f>
        <v/>
      </c>
    </row>
    <row r="64">
      <c r="Y64" s="19" t="n"/>
      <c r="Z64" s="22" t="n"/>
      <c r="AA64" s="22" t="n"/>
      <c r="AB64" s="22" t="n"/>
      <c r="AC64" s="19" t="n"/>
      <c r="AD64" s="21">
        <f>IF(AE64="",0,1)</f>
        <v/>
      </c>
      <c r="AE64" s="21">
        <f>IFERROR(TRIM(INDEX($A64:$X64,MATCH(Lists!$F$2,$A$1:$X$1,0))&amp;""),"")</f>
        <v/>
      </c>
      <c r="AF64" s="21">
        <f>IF(AE64="","",IFERROR(TRIM(INDEX($A64:$X64,MATCH(Lists!$F$3,$A$1:$X$1,0))&amp;""),""))</f>
        <v/>
      </c>
      <c r="AG64" s="21">
        <f>IF(AE64="","",IFERROR(TRIM(INDEX($A64:$X64,MATCH(Lists!$F$4,$A$1:$X$1,0))&amp;""),""))</f>
        <v/>
      </c>
      <c r="AH64" s="21">
        <f>IF(AE64="","",LOWER(IFERROR(TRIM(INDEX($A64:$X64,MATCH(Lists!$F$5,$A$1:$X$1,0))&amp;""),"")))</f>
        <v/>
      </c>
      <c r="AI64" s="21">
        <f>IF(AE64="","",IFERROR(TRIM(INDEX($A64:$X64,MATCH(Lists!$F$6,$A$1:$X$1,0))&amp;""),""))</f>
        <v/>
      </c>
      <c r="AJ64" s="21">
        <f>IF(AE64="","",IF(LEFT(IFERROR(TRIM(INDEX($A64:$X64,MATCH(Lists!$F$7,$A$1:$X$1,0))&amp;""),""),3)="Yes","Yes","No"))</f>
        <v/>
      </c>
      <c r="AK64" s="21">
        <f>IF(AE64="","",IFERROR(TRIM(INDEX($A64:$X64,MATCH(Lists!$F$8,$A$1:$X$1,0))&amp;""),""))</f>
        <v/>
      </c>
      <c r="AL64" s="21">
        <f>IF(AE64="","",IFERROR(IF(TRIM(INDEX($A64:$X64,MATCH(Lists!$F$9,$A$1:$X$1,0))&amp;"")="","",VALUE(TRIM(INDEX($A64:$X64,MATCH(Lists!$F$9,$A$1:$X$1,0))&amp;""))),""))</f>
        <v/>
      </c>
      <c r="AM64" s="21">
        <f>IF(AE64="","",IFERROR(TRIM(INDEX($A64:$X64,MATCH(Lists!$F$10,$A$1:$X$1,0))&amp;""),""))</f>
        <v/>
      </c>
      <c r="AN64" s="21">
        <f>IF(AE64="","",IF(OR(AM64="Paid",AM64="Partially refunded"),"Paid",IF(Z64="Yes","Paid (by hand)",IF(AM64&lt;&gt;"",AM64,"Unpaid"))))</f>
        <v/>
      </c>
      <c r="AO64" s="21">
        <f>IF(AD64=1,COUNTIFS($AE$2:$AE$301,"&lt;"&amp;AE64,$AD$2:$AD$301,1)+COUNTIF($AE$2:AE64,AE64),"")</f>
        <v/>
      </c>
    </row>
    <row r="65">
      <c r="Y65" s="19" t="n"/>
      <c r="Z65" s="22" t="n"/>
      <c r="AA65" s="22" t="n"/>
      <c r="AB65" s="22" t="n"/>
      <c r="AC65" s="19" t="n"/>
      <c r="AD65" s="21">
        <f>IF(AE65="",0,1)</f>
        <v/>
      </c>
      <c r="AE65" s="21">
        <f>IFERROR(TRIM(INDEX($A65:$X65,MATCH(Lists!$F$2,$A$1:$X$1,0))&amp;""),"")</f>
        <v/>
      </c>
      <c r="AF65" s="21">
        <f>IF(AE65="","",IFERROR(TRIM(INDEX($A65:$X65,MATCH(Lists!$F$3,$A$1:$X$1,0))&amp;""),""))</f>
        <v/>
      </c>
      <c r="AG65" s="21">
        <f>IF(AE65="","",IFERROR(TRIM(INDEX($A65:$X65,MATCH(Lists!$F$4,$A$1:$X$1,0))&amp;""),""))</f>
        <v/>
      </c>
      <c r="AH65" s="21">
        <f>IF(AE65="","",LOWER(IFERROR(TRIM(INDEX($A65:$X65,MATCH(Lists!$F$5,$A$1:$X$1,0))&amp;""),"")))</f>
        <v/>
      </c>
      <c r="AI65" s="21">
        <f>IF(AE65="","",IFERROR(TRIM(INDEX($A65:$X65,MATCH(Lists!$F$6,$A$1:$X$1,0))&amp;""),""))</f>
        <v/>
      </c>
      <c r="AJ65" s="21">
        <f>IF(AE65="","",IF(LEFT(IFERROR(TRIM(INDEX($A65:$X65,MATCH(Lists!$F$7,$A$1:$X$1,0))&amp;""),""),3)="Yes","Yes","No"))</f>
        <v/>
      </c>
      <c r="AK65" s="21">
        <f>IF(AE65="","",IFERROR(TRIM(INDEX($A65:$X65,MATCH(Lists!$F$8,$A$1:$X$1,0))&amp;""),""))</f>
        <v/>
      </c>
      <c r="AL65" s="21">
        <f>IF(AE65="","",IFERROR(IF(TRIM(INDEX($A65:$X65,MATCH(Lists!$F$9,$A$1:$X$1,0))&amp;"")="","",VALUE(TRIM(INDEX($A65:$X65,MATCH(Lists!$F$9,$A$1:$X$1,0))&amp;""))),""))</f>
        <v/>
      </c>
      <c r="AM65" s="21">
        <f>IF(AE65="","",IFERROR(TRIM(INDEX($A65:$X65,MATCH(Lists!$F$10,$A$1:$X$1,0))&amp;""),""))</f>
        <v/>
      </c>
      <c r="AN65" s="21">
        <f>IF(AE65="","",IF(OR(AM65="Paid",AM65="Partially refunded"),"Paid",IF(Z65="Yes","Paid (by hand)",IF(AM65&lt;&gt;"",AM65,"Unpaid"))))</f>
        <v/>
      </c>
      <c r="AO65" s="21">
        <f>IF(AD65=1,COUNTIFS($AE$2:$AE$301,"&lt;"&amp;AE65,$AD$2:$AD$301,1)+COUNTIF($AE$2:AE65,AE65),"")</f>
        <v/>
      </c>
    </row>
    <row r="66">
      <c r="Y66" s="19" t="n"/>
      <c r="Z66" s="22" t="n"/>
      <c r="AA66" s="22" t="n"/>
      <c r="AB66" s="22" t="n"/>
      <c r="AC66" s="19" t="n"/>
      <c r="AD66" s="21">
        <f>IF(AE66="",0,1)</f>
        <v/>
      </c>
      <c r="AE66" s="21">
        <f>IFERROR(TRIM(INDEX($A66:$X66,MATCH(Lists!$F$2,$A$1:$X$1,0))&amp;""),"")</f>
        <v/>
      </c>
      <c r="AF66" s="21">
        <f>IF(AE66="","",IFERROR(TRIM(INDEX($A66:$X66,MATCH(Lists!$F$3,$A$1:$X$1,0))&amp;""),""))</f>
        <v/>
      </c>
      <c r="AG66" s="21">
        <f>IF(AE66="","",IFERROR(TRIM(INDEX($A66:$X66,MATCH(Lists!$F$4,$A$1:$X$1,0))&amp;""),""))</f>
        <v/>
      </c>
      <c r="AH66" s="21">
        <f>IF(AE66="","",LOWER(IFERROR(TRIM(INDEX($A66:$X66,MATCH(Lists!$F$5,$A$1:$X$1,0))&amp;""),"")))</f>
        <v/>
      </c>
      <c r="AI66" s="21">
        <f>IF(AE66="","",IFERROR(TRIM(INDEX($A66:$X66,MATCH(Lists!$F$6,$A$1:$X$1,0))&amp;""),""))</f>
        <v/>
      </c>
      <c r="AJ66" s="21">
        <f>IF(AE66="","",IF(LEFT(IFERROR(TRIM(INDEX($A66:$X66,MATCH(Lists!$F$7,$A$1:$X$1,0))&amp;""),""),3)="Yes","Yes","No"))</f>
        <v/>
      </c>
      <c r="AK66" s="21">
        <f>IF(AE66="","",IFERROR(TRIM(INDEX($A66:$X66,MATCH(Lists!$F$8,$A$1:$X$1,0))&amp;""),""))</f>
        <v/>
      </c>
      <c r="AL66" s="21">
        <f>IF(AE66="","",IFERROR(IF(TRIM(INDEX($A66:$X66,MATCH(Lists!$F$9,$A$1:$X$1,0))&amp;"")="","",VALUE(TRIM(INDEX($A66:$X66,MATCH(Lists!$F$9,$A$1:$X$1,0))&amp;""))),""))</f>
        <v/>
      </c>
      <c r="AM66" s="21">
        <f>IF(AE66="","",IFERROR(TRIM(INDEX($A66:$X66,MATCH(Lists!$F$10,$A$1:$X$1,0))&amp;""),""))</f>
        <v/>
      </c>
      <c r="AN66" s="21">
        <f>IF(AE66="","",IF(OR(AM66="Paid",AM66="Partially refunded"),"Paid",IF(Z66="Yes","Paid (by hand)",IF(AM66&lt;&gt;"",AM66,"Unpaid"))))</f>
        <v/>
      </c>
      <c r="AO66" s="21">
        <f>IF(AD66=1,COUNTIFS($AE$2:$AE$301,"&lt;"&amp;AE66,$AD$2:$AD$301,1)+COUNTIF($AE$2:AE66,AE66),"")</f>
        <v/>
      </c>
    </row>
    <row r="67">
      <c r="Y67" s="19" t="n"/>
      <c r="Z67" s="22" t="n"/>
      <c r="AA67" s="22" t="n"/>
      <c r="AB67" s="22" t="n"/>
      <c r="AC67" s="19" t="n"/>
      <c r="AD67" s="21">
        <f>IF(AE67="",0,1)</f>
        <v/>
      </c>
      <c r="AE67" s="21">
        <f>IFERROR(TRIM(INDEX($A67:$X67,MATCH(Lists!$F$2,$A$1:$X$1,0))&amp;""),"")</f>
        <v/>
      </c>
      <c r="AF67" s="21">
        <f>IF(AE67="","",IFERROR(TRIM(INDEX($A67:$X67,MATCH(Lists!$F$3,$A$1:$X$1,0))&amp;""),""))</f>
        <v/>
      </c>
      <c r="AG67" s="21">
        <f>IF(AE67="","",IFERROR(TRIM(INDEX($A67:$X67,MATCH(Lists!$F$4,$A$1:$X$1,0))&amp;""),""))</f>
        <v/>
      </c>
      <c r="AH67" s="21">
        <f>IF(AE67="","",LOWER(IFERROR(TRIM(INDEX($A67:$X67,MATCH(Lists!$F$5,$A$1:$X$1,0))&amp;""),"")))</f>
        <v/>
      </c>
      <c r="AI67" s="21">
        <f>IF(AE67="","",IFERROR(TRIM(INDEX($A67:$X67,MATCH(Lists!$F$6,$A$1:$X$1,0))&amp;""),""))</f>
        <v/>
      </c>
      <c r="AJ67" s="21">
        <f>IF(AE67="","",IF(LEFT(IFERROR(TRIM(INDEX($A67:$X67,MATCH(Lists!$F$7,$A$1:$X$1,0))&amp;""),""),3)="Yes","Yes","No"))</f>
        <v/>
      </c>
      <c r="AK67" s="21">
        <f>IF(AE67="","",IFERROR(TRIM(INDEX($A67:$X67,MATCH(Lists!$F$8,$A$1:$X$1,0))&amp;""),""))</f>
        <v/>
      </c>
      <c r="AL67" s="21">
        <f>IF(AE67="","",IFERROR(IF(TRIM(INDEX($A67:$X67,MATCH(Lists!$F$9,$A$1:$X$1,0))&amp;"")="","",VALUE(TRIM(INDEX($A67:$X67,MATCH(Lists!$F$9,$A$1:$X$1,0))&amp;""))),""))</f>
        <v/>
      </c>
      <c r="AM67" s="21">
        <f>IF(AE67="","",IFERROR(TRIM(INDEX($A67:$X67,MATCH(Lists!$F$10,$A$1:$X$1,0))&amp;""),""))</f>
        <v/>
      </c>
      <c r="AN67" s="21">
        <f>IF(AE67="","",IF(OR(AM67="Paid",AM67="Partially refunded"),"Paid",IF(Z67="Yes","Paid (by hand)",IF(AM67&lt;&gt;"",AM67,"Unpaid"))))</f>
        <v/>
      </c>
      <c r="AO67" s="21">
        <f>IF(AD67=1,COUNTIFS($AE$2:$AE$301,"&lt;"&amp;AE67,$AD$2:$AD$301,1)+COUNTIF($AE$2:AE67,AE67),"")</f>
        <v/>
      </c>
    </row>
    <row r="68">
      <c r="Y68" s="19" t="n"/>
      <c r="Z68" s="22" t="n"/>
      <c r="AA68" s="22" t="n"/>
      <c r="AB68" s="22" t="n"/>
      <c r="AC68" s="19" t="n"/>
      <c r="AD68" s="21">
        <f>IF(AE68="",0,1)</f>
        <v/>
      </c>
      <c r="AE68" s="21">
        <f>IFERROR(TRIM(INDEX($A68:$X68,MATCH(Lists!$F$2,$A$1:$X$1,0))&amp;""),"")</f>
        <v/>
      </c>
      <c r="AF68" s="21">
        <f>IF(AE68="","",IFERROR(TRIM(INDEX($A68:$X68,MATCH(Lists!$F$3,$A$1:$X$1,0))&amp;""),""))</f>
        <v/>
      </c>
      <c r="AG68" s="21">
        <f>IF(AE68="","",IFERROR(TRIM(INDEX($A68:$X68,MATCH(Lists!$F$4,$A$1:$X$1,0))&amp;""),""))</f>
        <v/>
      </c>
      <c r="AH68" s="21">
        <f>IF(AE68="","",LOWER(IFERROR(TRIM(INDEX($A68:$X68,MATCH(Lists!$F$5,$A$1:$X$1,0))&amp;""),"")))</f>
        <v/>
      </c>
      <c r="AI68" s="21">
        <f>IF(AE68="","",IFERROR(TRIM(INDEX($A68:$X68,MATCH(Lists!$F$6,$A$1:$X$1,0))&amp;""),""))</f>
        <v/>
      </c>
      <c r="AJ68" s="21">
        <f>IF(AE68="","",IF(LEFT(IFERROR(TRIM(INDEX($A68:$X68,MATCH(Lists!$F$7,$A$1:$X$1,0))&amp;""),""),3)="Yes","Yes","No"))</f>
        <v/>
      </c>
      <c r="AK68" s="21">
        <f>IF(AE68="","",IFERROR(TRIM(INDEX($A68:$X68,MATCH(Lists!$F$8,$A$1:$X$1,0))&amp;""),""))</f>
        <v/>
      </c>
      <c r="AL68" s="21">
        <f>IF(AE68="","",IFERROR(IF(TRIM(INDEX($A68:$X68,MATCH(Lists!$F$9,$A$1:$X$1,0))&amp;"")="","",VALUE(TRIM(INDEX($A68:$X68,MATCH(Lists!$F$9,$A$1:$X$1,0))&amp;""))),""))</f>
        <v/>
      </c>
      <c r="AM68" s="21">
        <f>IF(AE68="","",IFERROR(TRIM(INDEX($A68:$X68,MATCH(Lists!$F$10,$A$1:$X$1,0))&amp;""),""))</f>
        <v/>
      </c>
      <c r="AN68" s="21">
        <f>IF(AE68="","",IF(OR(AM68="Paid",AM68="Partially refunded"),"Paid",IF(Z68="Yes","Paid (by hand)",IF(AM68&lt;&gt;"",AM68,"Unpaid"))))</f>
        <v/>
      </c>
      <c r="AO68" s="21">
        <f>IF(AD68=1,COUNTIFS($AE$2:$AE$301,"&lt;"&amp;AE68,$AD$2:$AD$301,1)+COUNTIF($AE$2:AE68,AE68),"")</f>
        <v/>
      </c>
    </row>
    <row r="69">
      <c r="Y69" s="19" t="n"/>
      <c r="Z69" s="22" t="n"/>
      <c r="AA69" s="22" t="n"/>
      <c r="AB69" s="22" t="n"/>
      <c r="AC69" s="19" t="n"/>
      <c r="AD69" s="21">
        <f>IF(AE69="",0,1)</f>
        <v/>
      </c>
      <c r="AE69" s="21">
        <f>IFERROR(TRIM(INDEX($A69:$X69,MATCH(Lists!$F$2,$A$1:$X$1,0))&amp;""),"")</f>
        <v/>
      </c>
      <c r="AF69" s="21">
        <f>IF(AE69="","",IFERROR(TRIM(INDEX($A69:$X69,MATCH(Lists!$F$3,$A$1:$X$1,0))&amp;""),""))</f>
        <v/>
      </c>
      <c r="AG69" s="21">
        <f>IF(AE69="","",IFERROR(TRIM(INDEX($A69:$X69,MATCH(Lists!$F$4,$A$1:$X$1,0))&amp;""),""))</f>
        <v/>
      </c>
      <c r="AH69" s="21">
        <f>IF(AE69="","",LOWER(IFERROR(TRIM(INDEX($A69:$X69,MATCH(Lists!$F$5,$A$1:$X$1,0))&amp;""),"")))</f>
        <v/>
      </c>
      <c r="AI69" s="21">
        <f>IF(AE69="","",IFERROR(TRIM(INDEX($A69:$X69,MATCH(Lists!$F$6,$A$1:$X$1,0))&amp;""),""))</f>
        <v/>
      </c>
      <c r="AJ69" s="21">
        <f>IF(AE69="","",IF(LEFT(IFERROR(TRIM(INDEX($A69:$X69,MATCH(Lists!$F$7,$A$1:$X$1,0))&amp;""),""),3)="Yes","Yes","No"))</f>
        <v/>
      </c>
      <c r="AK69" s="21">
        <f>IF(AE69="","",IFERROR(TRIM(INDEX($A69:$X69,MATCH(Lists!$F$8,$A$1:$X$1,0))&amp;""),""))</f>
        <v/>
      </c>
      <c r="AL69" s="21">
        <f>IF(AE69="","",IFERROR(IF(TRIM(INDEX($A69:$X69,MATCH(Lists!$F$9,$A$1:$X$1,0))&amp;"")="","",VALUE(TRIM(INDEX($A69:$X69,MATCH(Lists!$F$9,$A$1:$X$1,0))&amp;""))),""))</f>
        <v/>
      </c>
      <c r="AM69" s="21">
        <f>IF(AE69="","",IFERROR(TRIM(INDEX($A69:$X69,MATCH(Lists!$F$10,$A$1:$X$1,0))&amp;""),""))</f>
        <v/>
      </c>
      <c r="AN69" s="21">
        <f>IF(AE69="","",IF(OR(AM69="Paid",AM69="Partially refunded"),"Paid",IF(Z69="Yes","Paid (by hand)",IF(AM69&lt;&gt;"",AM69,"Unpaid"))))</f>
        <v/>
      </c>
      <c r="AO69" s="21">
        <f>IF(AD69=1,COUNTIFS($AE$2:$AE$301,"&lt;"&amp;AE69,$AD$2:$AD$301,1)+COUNTIF($AE$2:AE69,AE69),"")</f>
        <v/>
      </c>
    </row>
    <row r="70">
      <c r="Y70" s="19" t="n"/>
      <c r="Z70" s="22" t="n"/>
      <c r="AA70" s="22" t="n"/>
      <c r="AB70" s="22" t="n"/>
      <c r="AC70" s="19" t="n"/>
      <c r="AD70" s="21">
        <f>IF(AE70="",0,1)</f>
        <v/>
      </c>
      <c r="AE70" s="21">
        <f>IFERROR(TRIM(INDEX($A70:$X70,MATCH(Lists!$F$2,$A$1:$X$1,0))&amp;""),"")</f>
        <v/>
      </c>
      <c r="AF70" s="21">
        <f>IF(AE70="","",IFERROR(TRIM(INDEX($A70:$X70,MATCH(Lists!$F$3,$A$1:$X$1,0))&amp;""),""))</f>
        <v/>
      </c>
      <c r="AG70" s="21">
        <f>IF(AE70="","",IFERROR(TRIM(INDEX($A70:$X70,MATCH(Lists!$F$4,$A$1:$X$1,0))&amp;""),""))</f>
        <v/>
      </c>
      <c r="AH70" s="21">
        <f>IF(AE70="","",LOWER(IFERROR(TRIM(INDEX($A70:$X70,MATCH(Lists!$F$5,$A$1:$X$1,0))&amp;""),"")))</f>
        <v/>
      </c>
      <c r="AI70" s="21">
        <f>IF(AE70="","",IFERROR(TRIM(INDEX($A70:$X70,MATCH(Lists!$F$6,$A$1:$X$1,0))&amp;""),""))</f>
        <v/>
      </c>
      <c r="AJ70" s="21">
        <f>IF(AE70="","",IF(LEFT(IFERROR(TRIM(INDEX($A70:$X70,MATCH(Lists!$F$7,$A$1:$X$1,0))&amp;""),""),3)="Yes","Yes","No"))</f>
        <v/>
      </c>
      <c r="AK70" s="21">
        <f>IF(AE70="","",IFERROR(TRIM(INDEX($A70:$X70,MATCH(Lists!$F$8,$A$1:$X$1,0))&amp;""),""))</f>
        <v/>
      </c>
      <c r="AL70" s="21">
        <f>IF(AE70="","",IFERROR(IF(TRIM(INDEX($A70:$X70,MATCH(Lists!$F$9,$A$1:$X$1,0))&amp;"")="","",VALUE(TRIM(INDEX($A70:$X70,MATCH(Lists!$F$9,$A$1:$X$1,0))&amp;""))),""))</f>
        <v/>
      </c>
      <c r="AM70" s="21">
        <f>IF(AE70="","",IFERROR(TRIM(INDEX($A70:$X70,MATCH(Lists!$F$10,$A$1:$X$1,0))&amp;""),""))</f>
        <v/>
      </c>
      <c r="AN70" s="21">
        <f>IF(AE70="","",IF(OR(AM70="Paid",AM70="Partially refunded"),"Paid",IF(Z70="Yes","Paid (by hand)",IF(AM70&lt;&gt;"",AM70,"Unpaid"))))</f>
        <v/>
      </c>
      <c r="AO70" s="21">
        <f>IF(AD70=1,COUNTIFS($AE$2:$AE$301,"&lt;"&amp;AE70,$AD$2:$AD$301,1)+COUNTIF($AE$2:AE70,AE70),"")</f>
        <v/>
      </c>
    </row>
    <row r="71">
      <c r="Y71" s="19" t="n"/>
      <c r="Z71" s="22" t="n"/>
      <c r="AA71" s="22" t="n"/>
      <c r="AB71" s="22" t="n"/>
      <c r="AC71" s="19" t="n"/>
      <c r="AD71" s="21">
        <f>IF(AE71="",0,1)</f>
        <v/>
      </c>
      <c r="AE71" s="21">
        <f>IFERROR(TRIM(INDEX($A71:$X71,MATCH(Lists!$F$2,$A$1:$X$1,0))&amp;""),"")</f>
        <v/>
      </c>
      <c r="AF71" s="21">
        <f>IF(AE71="","",IFERROR(TRIM(INDEX($A71:$X71,MATCH(Lists!$F$3,$A$1:$X$1,0))&amp;""),""))</f>
        <v/>
      </c>
      <c r="AG71" s="21">
        <f>IF(AE71="","",IFERROR(TRIM(INDEX($A71:$X71,MATCH(Lists!$F$4,$A$1:$X$1,0))&amp;""),""))</f>
        <v/>
      </c>
      <c r="AH71" s="21">
        <f>IF(AE71="","",LOWER(IFERROR(TRIM(INDEX($A71:$X71,MATCH(Lists!$F$5,$A$1:$X$1,0))&amp;""),"")))</f>
        <v/>
      </c>
      <c r="AI71" s="21">
        <f>IF(AE71="","",IFERROR(TRIM(INDEX($A71:$X71,MATCH(Lists!$F$6,$A$1:$X$1,0))&amp;""),""))</f>
        <v/>
      </c>
      <c r="AJ71" s="21">
        <f>IF(AE71="","",IF(LEFT(IFERROR(TRIM(INDEX($A71:$X71,MATCH(Lists!$F$7,$A$1:$X$1,0))&amp;""),""),3)="Yes","Yes","No"))</f>
        <v/>
      </c>
      <c r="AK71" s="21">
        <f>IF(AE71="","",IFERROR(TRIM(INDEX($A71:$X71,MATCH(Lists!$F$8,$A$1:$X$1,0))&amp;""),""))</f>
        <v/>
      </c>
      <c r="AL71" s="21">
        <f>IF(AE71="","",IFERROR(IF(TRIM(INDEX($A71:$X71,MATCH(Lists!$F$9,$A$1:$X$1,0))&amp;"")="","",VALUE(TRIM(INDEX($A71:$X71,MATCH(Lists!$F$9,$A$1:$X$1,0))&amp;""))),""))</f>
        <v/>
      </c>
      <c r="AM71" s="21">
        <f>IF(AE71="","",IFERROR(TRIM(INDEX($A71:$X71,MATCH(Lists!$F$10,$A$1:$X$1,0))&amp;""),""))</f>
        <v/>
      </c>
      <c r="AN71" s="21">
        <f>IF(AE71="","",IF(OR(AM71="Paid",AM71="Partially refunded"),"Paid",IF(Z71="Yes","Paid (by hand)",IF(AM71&lt;&gt;"",AM71,"Unpaid"))))</f>
        <v/>
      </c>
      <c r="AO71" s="21">
        <f>IF(AD71=1,COUNTIFS($AE$2:$AE$301,"&lt;"&amp;AE71,$AD$2:$AD$301,1)+COUNTIF($AE$2:AE71,AE71),"")</f>
        <v/>
      </c>
    </row>
    <row r="72">
      <c r="Y72" s="19" t="n"/>
      <c r="Z72" s="22" t="n"/>
      <c r="AA72" s="22" t="n"/>
      <c r="AB72" s="22" t="n"/>
      <c r="AC72" s="19" t="n"/>
      <c r="AD72" s="21">
        <f>IF(AE72="",0,1)</f>
        <v/>
      </c>
      <c r="AE72" s="21">
        <f>IFERROR(TRIM(INDEX($A72:$X72,MATCH(Lists!$F$2,$A$1:$X$1,0))&amp;""),"")</f>
        <v/>
      </c>
      <c r="AF72" s="21">
        <f>IF(AE72="","",IFERROR(TRIM(INDEX($A72:$X72,MATCH(Lists!$F$3,$A$1:$X$1,0))&amp;""),""))</f>
        <v/>
      </c>
      <c r="AG72" s="21">
        <f>IF(AE72="","",IFERROR(TRIM(INDEX($A72:$X72,MATCH(Lists!$F$4,$A$1:$X$1,0))&amp;""),""))</f>
        <v/>
      </c>
      <c r="AH72" s="21">
        <f>IF(AE72="","",LOWER(IFERROR(TRIM(INDEX($A72:$X72,MATCH(Lists!$F$5,$A$1:$X$1,0))&amp;""),"")))</f>
        <v/>
      </c>
      <c r="AI72" s="21">
        <f>IF(AE72="","",IFERROR(TRIM(INDEX($A72:$X72,MATCH(Lists!$F$6,$A$1:$X$1,0))&amp;""),""))</f>
        <v/>
      </c>
      <c r="AJ72" s="21">
        <f>IF(AE72="","",IF(LEFT(IFERROR(TRIM(INDEX($A72:$X72,MATCH(Lists!$F$7,$A$1:$X$1,0))&amp;""),""),3)="Yes","Yes","No"))</f>
        <v/>
      </c>
      <c r="AK72" s="21">
        <f>IF(AE72="","",IFERROR(TRIM(INDEX($A72:$X72,MATCH(Lists!$F$8,$A$1:$X$1,0))&amp;""),""))</f>
        <v/>
      </c>
      <c r="AL72" s="21">
        <f>IF(AE72="","",IFERROR(IF(TRIM(INDEX($A72:$X72,MATCH(Lists!$F$9,$A$1:$X$1,0))&amp;"")="","",VALUE(TRIM(INDEX($A72:$X72,MATCH(Lists!$F$9,$A$1:$X$1,0))&amp;""))),""))</f>
        <v/>
      </c>
      <c r="AM72" s="21">
        <f>IF(AE72="","",IFERROR(TRIM(INDEX($A72:$X72,MATCH(Lists!$F$10,$A$1:$X$1,0))&amp;""),""))</f>
        <v/>
      </c>
      <c r="AN72" s="21">
        <f>IF(AE72="","",IF(OR(AM72="Paid",AM72="Partially refunded"),"Paid",IF(Z72="Yes","Paid (by hand)",IF(AM72&lt;&gt;"",AM72,"Unpaid"))))</f>
        <v/>
      </c>
      <c r="AO72" s="21">
        <f>IF(AD72=1,COUNTIFS($AE$2:$AE$301,"&lt;"&amp;AE72,$AD$2:$AD$301,1)+COUNTIF($AE$2:AE72,AE72),"")</f>
        <v/>
      </c>
    </row>
    <row r="73">
      <c r="Y73" s="19" t="n"/>
      <c r="Z73" s="22" t="n"/>
      <c r="AA73" s="22" t="n"/>
      <c r="AB73" s="22" t="n"/>
      <c r="AC73" s="19" t="n"/>
      <c r="AD73" s="21">
        <f>IF(AE73="",0,1)</f>
        <v/>
      </c>
      <c r="AE73" s="21">
        <f>IFERROR(TRIM(INDEX($A73:$X73,MATCH(Lists!$F$2,$A$1:$X$1,0))&amp;""),"")</f>
        <v/>
      </c>
      <c r="AF73" s="21">
        <f>IF(AE73="","",IFERROR(TRIM(INDEX($A73:$X73,MATCH(Lists!$F$3,$A$1:$X$1,0))&amp;""),""))</f>
        <v/>
      </c>
      <c r="AG73" s="21">
        <f>IF(AE73="","",IFERROR(TRIM(INDEX($A73:$X73,MATCH(Lists!$F$4,$A$1:$X$1,0))&amp;""),""))</f>
        <v/>
      </c>
      <c r="AH73" s="21">
        <f>IF(AE73="","",LOWER(IFERROR(TRIM(INDEX($A73:$X73,MATCH(Lists!$F$5,$A$1:$X$1,0))&amp;""),"")))</f>
        <v/>
      </c>
      <c r="AI73" s="21">
        <f>IF(AE73="","",IFERROR(TRIM(INDEX($A73:$X73,MATCH(Lists!$F$6,$A$1:$X$1,0))&amp;""),""))</f>
        <v/>
      </c>
      <c r="AJ73" s="21">
        <f>IF(AE73="","",IF(LEFT(IFERROR(TRIM(INDEX($A73:$X73,MATCH(Lists!$F$7,$A$1:$X$1,0))&amp;""),""),3)="Yes","Yes","No"))</f>
        <v/>
      </c>
      <c r="AK73" s="21">
        <f>IF(AE73="","",IFERROR(TRIM(INDEX($A73:$X73,MATCH(Lists!$F$8,$A$1:$X$1,0))&amp;""),""))</f>
        <v/>
      </c>
      <c r="AL73" s="21">
        <f>IF(AE73="","",IFERROR(IF(TRIM(INDEX($A73:$X73,MATCH(Lists!$F$9,$A$1:$X$1,0))&amp;"")="","",VALUE(TRIM(INDEX($A73:$X73,MATCH(Lists!$F$9,$A$1:$X$1,0))&amp;""))),""))</f>
        <v/>
      </c>
      <c r="AM73" s="21">
        <f>IF(AE73="","",IFERROR(TRIM(INDEX($A73:$X73,MATCH(Lists!$F$10,$A$1:$X$1,0))&amp;""),""))</f>
        <v/>
      </c>
      <c r="AN73" s="21">
        <f>IF(AE73="","",IF(OR(AM73="Paid",AM73="Partially refunded"),"Paid",IF(Z73="Yes","Paid (by hand)",IF(AM73&lt;&gt;"",AM73,"Unpaid"))))</f>
        <v/>
      </c>
      <c r="AO73" s="21">
        <f>IF(AD73=1,COUNTIFS($AE$2:$AE$301,"&lt;"&amp;AE73,$AD$2:$AD$301,1)+COUNTIF($AE$2:AE73,AE73),"")</f>
        <v/>
      </c>
    </row>
    <row r="74">
      <c r="Y74" s="19" t="n"/>
      <c r="Z74" s="22" t="n"/>
      <c r="AA74" s="22" t="n"/>
      <c r="AB74" s="22" t="n"/>
      <c r="AC74" s="19" t="n"/>
      <c r="AD74" s="21">
        <f>IF(AE74="",0,1)</f>
        <v/>
      </c>
      <c r="AE74" s="21">
        <f>IFERROR(TRIM(INDEX($A74:$X74,MATCH(Lists!$F$2,$A$1:$X$1,0))&amp;""),"")</f>
        <v/>
      </c>
      <c r="AF74" s="21">
        <f>IF(AE74="","",IFERROR(TRIM(INDEX($A74:$X74,MATCH(Lists!$F$3,$A$1:$X$1,0))&amp;""),""))</f>
        <v/>
      </c>
      <c r="AG74" s="21">
        <f>IF(AE74="","",IFERROR(TRIM(INDEX($A74:$X74,MATCH(Lists!$F$4,$A$1:$X$1,0))&amp;""),""))</f>
        <v/>
      </c>
      <c r="AH74" s="21">
        <f>IF(AE74="","",LOWER(IFERROR(TRIM(INDEX($A74:$X74,MATCH(Lists!$F$5,$A$1:$X$1,0))&amp;""),"")))</f>
        <v/>
      </c>
      <c r="AI74" s="21">
        <f>IF(AE74="","",IFERROR(TRIM(INDEX($A74:$X74,MATCH(Lists!$F$6,$A$1:$X$1,0))&amp;""),""))</f>
        <v/>
      </c>
      <c r="AJ74" s="21">
        <f>IF(AE74="","",IF(LEFT(IFERROR(TRIM(INDEX($A74:$X74,MATCH(Lists!$F$7,$A$1:$X$1,0))&amp;""),""),3)="Yes","Yes","No"))</f>
        <v/>
      </c>
      <c r="AK74" s="21">
        <f>IF(AE74="","",IFERROR(TRIM(INDEX($A74:$X74,MATCH(Lists!$F$8,$A$1:$X$1,0))&amp;""),""))</f>
        <v/>
      </c>
      <c r="AL74" s="21">
        <f>IF(AE74="","",IFERROR(IF(TRIM(INDEX($A74:$X74,MATCH(Lists!$F$9,$A$1:$X$1,0))&amp;"")="","",VALUE(TRIM(INDEX($A74:$X74,MATCH(Lists!$F$9,$A$1:$X$1,0))&amp;""))),""))</f>
        <v/>
      </c>
      <c r="AM74" s="21">
        <f>IF(AE74="","",IFERROR(TRIM(INDEX($A74:$X74,MATCH(Lists!$F$10,$A$1:$X$1,0))&amp;""),""))</f>
        <v/>
      </c>
      <c r="AN74" s="21">
        <f>IF(AE74="","",IF(OR(AM74="Paid",AM74="Partially refunded"),"Paid",IF(Z74="Yes","Paid (by hand)",IF(AM74&lt;&gt;"",AM74,"Unpaid"))))</f>
        <v/>
      </c>
      <c r="AO74" s="21">
        <f>IF(AD74=1,COUNTIFS($AE$2:$AE$301,"&lt;"&amp;AE74,$AD$2:$AD$301,1)+COUNTIF($AE$2:AE74,AE74),"")</f>
        <v/>
      </c>
    </row>
    <row r="75">
      <c r="Y75" s="19" t="n"/>
      <c r="Z75" s="22" t="n"/>
      <c r="AA75" s="22" t="n"/>
      <c r="AB75" s="22" t="n"/>
      <c r="AC75" s="19" t="n"/>
      <c r="AD75" s="21">
        <f>IF(AE75="",0,1)</f>
        <v/>
      </c>
      <c r="AE75" s="21">
        <f>IFERROR(TRIM(INDEX($A75:$X75,MATCH(Lists!$F$2,$A$1:$X$1,0))&amp;""),"")</f>
        <v/>
      </c>
      <c r="AF75" s="21">
        <f>IF(AE75="","",IFERROR(TRIM(INDEX($A75:$X75,MATCH(Lists!$F$3,$A$1:$X$1,0))&amp;""),""))</f>
        <v/>
      </c>
      <c r="AG75" s="21">
        <f>IF(AE75="","",IFERROR(TRIM(INDEX($A75:$X75,MATCH(Lists!$F$4,$A$1:$X$1,0))&amp;""),""))</f>
        <v/>
      </c>
      <c r="AH75" s="21">
        <f>IF(AE75="","",LOWER(IFERROR(TRIM(INDEX($A75:$X75,MATCH(Lists!$F$5,$A$1:$X$1,0))&amp;""),"")))</f>
        <v/>
      </c>
      <c r="AI75" s="21">
        <f>IF(AE75="","",IFERROR(TRIM(INDEX($A75:$X75,MATCH(Lists!$F$6,$A$1:$X$1,0))&amp;""),""))</f>
        <v/>
      </c>
      <c r="AJ75" s="21">
        <f>IF(AE75="","",IF(LEFT(IFERROR(TRIM(INDEX($A75:$X75,MATCH(Lists!$F$7,$A$1:$X$1,0))&amp;""),""),3)="Yes","Yes","No"))</f>
        <v/>
      </c>
      <c r="AK75" s="21">
        <f>IF(AE75="","",IFERROR(TRIM(INDEX($A75:$X75,MATCH(Lists!$F$8,$A$1:$X$1,0))&amp;""),""))</f>
        <v/>
      </c>
      <c r="AL75" s="21">
        <f>IF(AE75="","",IFERROR(IF(TRIM(INDEX($A75:$X75,MATCH(Lists!$F$9,$A$1:$X$1,0))&amp;"")="","",VALUE(TRIM(INDEX($A75:$X75,MATCH(Lists!$F$9,$A$1:$X$1,0))&amp;""))),""))</f>
        <v/>
      </c>
      <c r="AM75" s="21">
        <f>IF(AE75="","",IFERROR(TRIM(INDEX($A75:$X75,MATCH(Lists!$F$10,$A$1:$X$1,0))&amp;""),""))</f>
        <v/>
      </c>
      <c r="AN75" s="21">
        <f>IF(AE75="","",IF(OR(AM75="Paid",AM75="Partially refunded"),"Paid",IF(Z75="Yes","Paid (by hand)",IF(AM75&lt;&gt;"",AM75,"Unpaid"))))</f>
        <v/>
      </c>
      <c r="AO75" s="21">
        <f>IF(AD75=1,COUNTIFS($AE$2:$AE$301,"&lt;"&amp;AE75,$AD$2:$AD$301,1)+COUNTIF($AE$2:AE75,AE75),"")</f>
        <v/>
      </c>
    </row>
    <row r="76">
      <c r="Y76" s="19" t="n"/>
      <c r="Z76" s="22" t="n"/>
      <c r="AA76" s="22" t="n"/>
      <c r="AB76" s="22" t="n"/>
      <c r="AC76" s="19" t="n"/>
      <c r="AD76" s="21">
        <f>IF(AE76="",0,1)</f>
        <v/>
      </c>
      <c r="AE76" s="21">
        <f>IFERROR(TRIM(INDEX($A76:$X76,MATCH(Lists!$F$2,$A$1:$X$1,0))&amp;""),"")</f>
        <v/>
      </c>
      <c r="AF76" s="21">
        <f>IF(AE76="","",IFERROR(TRIM(INDEX($A76:$X76,MATCH(Lists!$F$3,$A$1:$X$1,0))&amp;""),""))</f>
        <v/>
      </c>
      <c r="AG76" s="21">
        <f>IF(AE76="","",IFERROR(TRIM(INDEX($A76:$X76,MATCH(Lists!$F$4,$A$1:$X$1,0))&amp;""),""))</f>
        <v/>
      </c>
      <c r="AH76" s="21">
        <f>IF(AE76="","",LOWER(IFERROR(TRIM(INDEX($A76:$X76,MATCH(Lists!$F$5,$A$1:$X$1,0))&amp;""),"")))</f>
        <v/>
      </c>
      <c r="AI76" s="21">
        <f>IF(AE76="","",IFERROR(TRIM(INDEX($A76:$X76,MATCH(Lists!$F$6,$A$1:$X$1,0))&amp;""),""))</f>
        <v/>
      </c>
      <c r="AJ76" s="21">
        <f>IF(AE76="","",IF(LEFT(IFERROR(TRIM(INDEX($A76:$X76,MATCH(Lists!$F$7,$A$1:$X$1,0))&amp;""),""),3)="Yes","Yes","No"))</f>
        <v/>
      </c>
      <c r="AK76" s="21">
        <f>IF(AE76="","",IFERROR(TRIM(INDEX($A76:$X76,MATCH(Lists!$F$8,$A$1:$X$1,0))&amp;""),""))</f>
        <v/>
      </c>
      <c r="AL76" s="21">
        <f>IF(AE76="","",IFERROR(IF(TRIM(INDEX($A76:$X76,MATCH(Lists!$F$9,$A$1:$X$1,0))&amp;"")="","",VALUE(TRIM(INDEX($A76:$X76,MATCH(Lists!$F$9,$A$1:$X$1,0))&amp;""))),""))</f>
        <v/>
      </c>
      <c r="AM76" s="21">
        <f>IF(AE76="","",IFERROR(TRIM(INDEX($A76:$X76,MATCH(Lists!$F$10,$A$1:$X$1,0))&amp;""),""))</f>
        <v/>
      </c>
      <c r="AN76" s="21">
        <f>IF(AE76="","",IF(OR(AM76="Paid",AM76="Partially refunded"),"Paid",IF(Z76="Yes","Paid (by hand)",IF(AM76&lt;&gt;"",AM76,"Unpaid"))))</f>
        <v/>
      </c>
      <c r="AO76" s="21">
        <f>IF(AD76=1,COUNTIFS($AE$2:$AE$301,"&lt;"&amp;AE76,$AD$2:$AD$301,1)+COUNTIF($AE$2:AE76,AE76),"")</f>
        <v/>
      </c>
    </row>
    <row r="77">
      <c r="Y77" s="19" t="n"/>
      <c r="Z77" s="22" t="n"/>
      <c r="AA77" s="22" t="n"/>
      <c r="AB77" s="22" t="n"/>
      <c r="AC77" s="19" t="n"/>
      <c r="AD77" s="21">
        <f>IF(AE77="",0,1)</f>
        <v/>
      </c>
      <c r="AE77" s="21">
        <f>IFERROR(TRIM(INDEX($A77:$X77,MATCH(Lists!$F$2,$A$1:$X$1,0))&amp;""),"")</f>
        <v/>
      </c>
      <c r="AF77" s="21">
        <f>IF(AE77="","",IFERROR(TRIM(INDEX($A77:$X77,MATCH(Lists!$F$3,$A$1:$X$1,0))&amp;""),""))</f>
        <v/>
      </c>
      <c r="AG77" s="21">
        <f>IF(AE77="","",IFERROR(TRIM(INDEX($A77:$X77,MATCH(Lists!$F$4,$A$1:$X$1,0))&amp;""),""))</f>
        <v/>
      </c>
      <c r="AH77" s="21">
        <f>IF(AE77="","",LOWER(IFERROR(TRIM(INDEX($A77:$X77,MATCH(Lists!$F$5,$A$1:$X$1,0))&amp;""),"")))</f>
        <v/>
      </c>
      <c r="AI77" s="21">
        <f>IF(AE77="","",IFERROR(TRIM(INDEX($A77:$X77,MATCH(Lists!$F$6,$A$1:$X$1,0))&amp;""),""))</f>
        <v/>
      </c>
      <c r="AJ77" s="21">
        <f>IF(AE77="","",IF(LEFT(IFERROR(TRIM(INDEX($A77:$X77,MATCH(Lists!$F$7,$A$1:$X$1,0))&amp;""),""),3)="Yes","Yes","No"))</f>
        <v/>
      </c>
      <c r="AK77" s="21">
        <f>IF(AE77="","",IFERROR(TRIM(INDEX($A77:$X77,MATCH(Lists!$F$8,$A$1:$X$1,0))&amp;""),""))</f>
        <v/>
      </c>
      <c r="AL77" s="21">
        <f>IF(AE77="","",IFERROR(IF(TRIM(INDEX($A77:$X77,MATCH(Lists!$F$9,$A$1:$X$1,0))&amp;"")="","",VALUE(TRIM(INDEX($A77:$X77,MATCH(Lists!$F$9,$A$1:$X$1,0))&amp;""))),""))</f>
        <v/>
      </c>
      <c r="AM77" s="21">
        <f>IF(AE77="","",IFERROR(TRIM(INDEX($A77:$X77,MATCH(Lists!$F$10,$A$1:$X$1,0))&amp;""),""))</f>
        <v/>
      </c>
      <c r="AN77" s="21">
        <f>IF(AE77="","",IF(OR(AM77="Paid",AM77="Partially refunded"),"Paid",IF(Z77="Yes","Paid (by hand)",IF(AM77&lt;&gt;"",AM77,"Unpaid"))))</f>
        <v/>
      </c>
      <c r="AO77" s="21">
        <f>IF(AD77=1,COUNTIFS($AE$2:$AE$301,"&lt;"&amp;AE77,$AD$2:$AD$301,1)+COUNTIF($AE$2:AE77,AE77),"")</f>
        <v/>
      </c>
    </row>
    <row r="78">
      <c r="Y78" s="19" t="n"/>
      <c r="Z78" s="22" t="n"/>
      <c r="AA78" s="22" t="n"/>
      <c r="AB78" s="22" t="n"/>
      <c r="AC78" s="19" t="n"/>
      <c r="AD78" s="21">
        <f>IF(AE78="",0,1)</f>
        <v/>
      </c>
      <c r="AE78" s="21">
        <f>IFERROR(TRIM(INDEX($A78:$X78,MATCH(Lists!$F$2,$A$1:$X$1,0))&amp;""),"")</f>
        <v/>
      </c>
      <c r="AF78" s="21">
        <f>IF(AE78="","",IFERROR(TRIM(INDEX($A78:$X78,MATCH(Lists!$F$3,$A$1:$X$1,0))&amp;""),""))</f>
        <v/>
      </c>
      <c r="AG78" s="21">
        <f>IF(AE78="","",IFERROR(TRIM(INDEX($A78:$X78,MATCH(Lists!$F$4,$A$1:$X$1,0))&amp;""),""))</f>
        <v/>
      </c>
      <c r="AH78" s="21">
        <f>IF(AE78="","",LOWER(IFERROR(TRIM(INDEX($A78:$X78,MATCH(Lists!$F$5,$A$1:$X$1,0))&amp;""),"")))</f>
        <v/>
      </c>
      <c r="AI78" s="21">
        <f>IF(AE78="","",IFERROR(TRIM(INDEX($A78:$X78,MATCH(Lists!$F$6,$A$1:$X$1,0))&amp;""),""))</f>
        <v/>
      </c>
      <c r="AJ78" s="21">
        <f>IF(AE78="","",IF(LEFT(IFERROR(TRIM(INDEX($A78:$X78,MATCH(Lists!$F$7,$A$1:$X$1,0))&amp;""),""),3)="Yes","Yes","No"))</f>
        <v/>
      </c>
      <c r="AK78" s="21">
        <f>IF(AE78="","",IFERROR(TRIM(INDEX($A78:$X78,MATCH(Lists!$F$8,$A$1:$X$1,0))&amp;""),""))</f>
        <v/>
      </c>
      <c r="AL78" s="21">
        <f>IF(AE78="","",IFERROR(IF(TRIM(INDEX($A78:$X78,MATCH(Lists!$F$9,$A$1:$X$1,0))&amp;"")="","",VALUE(TRIM(INDEX($A78:$X78,MATCH(Lists!$F$9,$A$1:$X$1,0))&amp;""))),""))</f>
        <v/>
      </c>
      <c r="AM78" s="21">
        <f>IF(AE78="","",IFERROR(TRIM(INDEX($A78:$X78,MATCH(Lists!$F$10,$A$1:$X$1,0))&amp;""),""))</f>
        <v/>
      </c>
      <c r="AN78" s="21">
        <f>IF(AE78="","",IF(OR(AM78="Paid",AM78="Partially refunded"),"Paid",IF(Z78="Yes","Paid (by hand)",IF(AM78&lt;&gt;"",AM78,"Unpaid"))))</f>
        <v/>
      </c>
      <c r="AO78" s="21">
        <f>IF(AD78=1,COUNTIFS($AE$2:$AE$301,"&lt;"&amp;AE78,$AD$2:$AD$301,1)+COUNTIF($AE$2:AE78,AE78),"")</f>
        <v/>
      </c>
    </row>
    <row r="79">
      <c r="Y79" s="19" t="n"/>
      <c r="Z79" s="22" t="n"/>
      <c r="AA79" s="22" t="n"/>
      <c r="AB79" s="22" t="n"/>
      <c r="AC79" s="19" t="n"/>
      <c r="AD79" s="21">
        <f>IF(AE79="",0,1)</f>
        <v/>
      </c>
      <c r="AE79" s="21">
        <f>IFERROR(TRIM(INDEX($A79:$X79,MATCH(Lists!$F$2,$A$1:$X$1,0))&amp;""),"")</f>
        <v/>
      </c>
      <c r="AF79" s="21">
        <f>IF(AE79="","",IFERROR(TRIM(INDEX($A79:$X79,MATCH(Lists!$F$3,$A$1:$X$1,0))&amp;""),""))</f>
        <v/>
      </c>
      <c r="AG79" s="21">
        <f>IF(AE79="","",IFERROR(TRIM(INDEX($A79:$X79,MATCH(Lists!$F$4,$A$1:$X$1,0))&amp;""),""))</f>
        <v/>
      </c>
      <c r="AH79" s="21">
        <f>IF(AE79="","",LOWER(IFERROR(TRIM(INDEX($A79:$X79,MATCH(Lists!$F$5,$A$1:$X$1,0))&amp;""),"")))</f>
        <v/>
      </c>
      <c r="AI79" s="21">
        <f>IF(AE79="","",IFERROR(TRIM(INDEX($A79:$X79,MATCH(Lists!$F$6,$A$1:$X$1,0))&amp;""),""))</f>
        <v/>
      </c>
      <c r="AJ79" s="21">
        <f>IF(AE79="","",IF(LEFT(IFERROR(TRIM(INDEX($A79:$X79,MATCH(Lists!$F$7,$A$1:$X$1,0))&amp;""),""),3)="Yes","Yes","No"))</f>
        <v/>
      </c>
      <c r="AK79" s="21">
        <f>IF(AE79="","",IFERROR(TRIM(INDEX($A79:$X79,MATCH(Lists!$F$8,$A$1:$X$1,0))&amp;""),""))</f>
        <v/>
      </c>
      <c r="AL79" s="21">
        <f>IF(AE79="","",IFERROR(IF(TRIM(INDEX($A79:$X79,MATCH(Lists!$F$9,$A$1:$X$1,0))&amp;"")="","",VALUE(TRIM(INDEX($A79:$X79,MATCH(Lists!$F$9,$A$1:$X$1,0))&amp;""))),""))</f>
        <v/>
      </c>
      <c r="AM79" s="21">
        <f>IF(AE79="","",IFERROR(TRIM(INDEX($A79:$X79,MATCH(Lists!$F$10,$A$1:$X$1,0))&amp;""),""))</f>
        <v/>
      </c>
      <c r="AN79" s="21">
        <f>IF(AE79="","",IF(OR(AM79="Paid",AM79="Partially refunded"),"Paid",IF(Z79="Yes","Paid (by hand)",IF(AM79&lt;&gt;"",AM79,"Unpaid"))))</f>
        <v/>
      </c>
      <c r="AO79" s="21">
        <f>IF(AD79=1,COUNTIFS($AE$2:$AE$301,"&lt;"&amp;AE79,$AD$2:$AD$301,1)+COUNTIF($AE$2:AE79,AE79),"")</f>
        <v/>
      </c>
    </row>
    <row r="80">
      <c r="Y80" s="19" t="n"/>
      <c r="Z80" s="22" t="n"/>
      <c r="AA80" s="22" t="n"/>
      <c r="AB80" s="22" t="n"/>
      <c r="AC80" s="19" t="n"/>
      <c r="AD80" s="21">
        <f>IF(AE80="",0,1)</f>
        <v/>
      </c>
      <c r="AE80" s="21">
        <f>IFERROR(TRIM(INDEX($A80:$X80,MATCH(Lists!$F$2,$A$1:$X$1,0))&amp;""),"")</f>
        <v/>
      </c>
      <c r="AF80" s="21">
        <f>IF(AE80="","",IFERROR(TRIM(INDEX($A80:$X80,MATCH(Lists!$F$3,$A$1:$X$1,0))&amp;""),""))</f>
        <v/>
      </c>
      <c r="AG80" s="21">
        <f>IF(AE80="","",IFERROR(TRIM(INDEX($A80:$X80,MATCH(Lists!$F$4,$A$1:$X$1,0))&amp;""),""))</f>
        <v/>
      </c>
      <c r="AH80" s="21">
        <f>IF(AE80="","",LOWER(IFERROR(TRIM(INDEX($A80:$X80,MATCH(Lists!$F$5,$A$1:$X$1,0))&amp;""),"")))</f>
        <v/>
      </c>
      <c r="AI80" s="21">
        <f>IF(AE80="","",IFERROR(TRIM(INDEX($A80:$X80,MATCH(Lists!$F$6,$A$1:$X$1,0))&amp;""),""))</f>
        <v/>
      </c>
      <c r="AJ80" s="21">
        <f>IF(AE80="","",IF(LEFT(IFERROR(TRIM(INDEX($A80:$X80,MATCH(Lists!$F$7,$A$1:$X$1,0))&amp;""),""),3)="Yes","Yes","No"))</f>
        <v/>
      </c>
      <c r="AK80" s="21">
        <f>IF(AE80="","",IFERROR(TRIM(INDEX($A80:$X80,MATCH(Lists!$F$8,$A$1:$X$1,0))&amp;""),""))</f>
        <v/>
      </c>
      <c r="AL80" s="21">
        <f>IF(AE80="","",IFERROR(IF(TRIM(INDEX($A80:$X80,MATCH(Lists!$F$9,$A$1:$X$1,0))&amp;"")="","",VALUE(TRIM(INDEX($A80:$X80,MATCH(Lists!$F$9,$A$1:$X$1,0))&amp;""))),""))</f>
        <v/>
      </c>
      <c r="AM80" s="21">
        <f>IF(AE80="","",IFERROR(TRIM(INDEX($A80:$X80,MATCH(Lists!$F$10,$A$1:$X$1,0))&amp;""),""))</f>
        <v/>
      </c>
      <c r="AN80" s="21">
        <f>IF(AE80="","",IF(OR(AM80="Paid",AM80="Partially refunded"),"Paid",IF(Z80="Yes","Paid (by hand)",IF(AM80&lt;&gt;"",AM80,"Unpaid"))))</f>
        <v/>
      </c>
      <c r="AO80" s="21">
        <f>IF(AD80=1,COUNTIFS($AE$2:$AE$301,"&lt;"&amp;AE80,$AD$2:$AD$301,1)+COUNTIF($AE$2:AE80,AE80),"")</f>
        <v/>
      </c>
    </row>
    <row r="81">
      <c r="Y81" s="19" t="n"/>
      <c r="Z81" s="22" t="n"/>
      <c r="AA81" s="22" t="n"/>
      <c r="AB81" s="22" t="n"/>
      <c r="AC81" s="19" t="n"/>
      <c r="AD81" s="21">
        <f>IF(AE81="",0,1)</f>
        <v/>
      </c>
      <c r="AE81" s="21">
        <f>IFERROR(TRIM(INDEX($A81:$X81,MATCH(Lists!$F$2,$A$1:$X$1,0))&amp;""),"")</f>
        <v/>
      </c>
      <c r="AF81" s="21">
        <f>IF(AE81="","",IFERROR(TRIM(INDEX($A81:$X81,MATCH(Lists!$F$3,$A$1:$X$1,0))&amp;""),""))</f>
        <v/>
      </c>
      <c r="AG81" s="21">
        <f>IF(AE81="","",IFERROR(TRIM(INDEX($A81:$X81,MATCH(Lists!$F$4,$A$1:$X$1,0))&amp;""),""))</f>
        <v/>
      </c>
      <c r="AH81" s="21">
        <f>IF(AE81="","",LOWER(IFERROR(TRIM(INDEX($A81:$X81,MATCH(Lists!$F$5,$A$1:$X$1,0))&amp;""),"")))</f>
        <v/>
      </c>
      <c r="AI81" s="21">
        <f>IF(AE81="","",IFERROR(TRIM(INDEX($A81:$X81,MATCH(Lists!$F$6,$A$1:$X$1,0))&amp;""),""))</f>
        <v/>
      </c>
      <c r="AJ81" s="21">
        <f>IF(AE81="","",IF(LEFT(IFERROR(TRIM(INDEX($A81:$X81,MATCH(Lists!$F$7,$A$1:$X$1,0))&amp;""),""),3)="Yes","Yes","No"))</f>
        <v/>
      </c>
      <c r="AK81" s="21">
        <f>IF(AE81="","",IFERROR(TRIM(INDEX($A81:$X81,MATCH(Lists!$F$8,$A$1:$X$1,0))&amp;""),""))</f>
        <v/>
      </c>
      <c r="AL81" s="21">
        <f>IF(AE81="","",IFERROR(IF(TRIM(INDEX($A81:$X81,MATCH(Lists!$F$9,$A$1:$X$1,0))&amp;"")="","",VALUE(TRIM(INDEX($A81:$X81,MATCH(Lists!$F$9,$A$1:$X$1,0))&amp;""))),""))</f>
        <v/>
      </c>
      <c r="AM81" s="21">
        <f>IF(AE81="","",IFERROR(TRIM(INDEX($A81:$X81,MATCH(Lists!$F$10,$A$1:$X$1,0))&amp;""),""))</f>
        <v/>
      </c>
      <c r="AN81" s="21">
        <f>IF(AE81="","",IF(OR(AM81="Paid",AM81="Partially refunded"),"Paid",IF(Z81="Yes","Paid (by hand)",IF(AM81&lt;&gt;"",AM81,"Unpaid"))))</f>
        <v/>
      </c>
      <c r="AO81" s="21">
        <f>IF(AD81=1,COUNTIFS($AE$2:$AE$301,"&lt;"&amp;AE81,$AD$2:$AD$301,1)+COUNTIF($AE$2:AE81,AE81),"")</f>
        <v/>
      </c>
    </row>
    <row r="82">
      <c r="Y82" s="19" t="n"/>
      <c r="Z82" s="22" t="n"/>
      <c r="AA82" s="22" t="n"/>
      <c r="AB82" s="22" t="n"/>
      <c r="AC82" s="19" t="n"/>
      <c r="AD82" s="21">
        <f>IF(AE82="",0,1)</f>
        <v/>
      </c>
      <c r="AE82" s="21">
        <f>IFERROR(TRIM(INDEX($A82:$X82,MATCH(Lists!$F$2,$A$1:$X$1,0))&amp;""),"")</f>
        <v/>
      </c>
      <c r="AF82" s="21">
        <f>IF(AE82="","",IFERROR(TRIM(INDEX($A82:$X82,MATCH(Lists!$F$3,$A$1:$X$1,0))&amp;""),""))</f>
        <v/>
      </c>
      <c r="AG82" s="21">
        <f>IF(AE82="","",IFERROR(TRIM(INDEX($A82:$X82,MATCH(Lists!$F$4,$A$1:$X$1,0))&amp;""),""))</f>
        <v/>
      </c>
      <c r="AH82" s="21">
        <f>IF(AE82="","",LOWER(IFERROR(TRIM(INDEX($A82:$X82,MATCH(Lists!$F$5,$A$1:$X$1,0))&amp;""),"")))</f>
        <v/>
      </c>
      <c r="AI82" s="21">
        <f>IF(AE82="","",IFERROR(TRIM(INDEX($A82:$X82,MATCH(Lists!$F$6,$A$1:$X$1,0))&amp;""),""))</f>
        <v/>
      </c>
      <c r="AJ82" s="21">
        <f>IF(AE82="","",IF(LEFT(IFERROR(TRIM(INDEX($A82:$X82,MATCH(Lists!$F$7,$A$1:$X$1,0))&amp;""),""),3)="Yes","Yes","No"))</f>
        <v/>
      </c>
      <c r="AK82" s="21">
        <f>IF(AE82="","",IFERROR(TRIM(INDEX($A82:$X82,MATCH(Lists!$F$8,$A$1:$X$1,0))&amp;""),""))</f>
        <v/>
      </c>
      <c r="AL82" s="21">
        <f>IF(AE82="","",IFERROR(IF(TRIM(INDEX($A82:$X82,MATCH(Lists!$F$9,$A$1:$X$1,0))&amp;"")="","",VALUE(TRIM(INDEX($A82:$X82,MATCH(Lists!$F$9,$A$1:$X$1,0))&amp;""))),""))</f>
        <v/>
      </c>
      <c r="AM82" s="21">
        <f>IF(AE82="","",IFERROR(TRIM(INDEX($A82:$X82,MATCH(Lists!$F$10,$A$1:$X$1,0))&amp;""),""))</f>
        <v/>
      </c>
      <c r="AN82" s="21">
        <f>IF(AE82="","",IF(OR(AM82="Paid",AM82="Partially refunded"),"Paid",IF(Z82="Yes","Paid (by hand)",IF(AM82&lt;&gt;"",AM82,"Unpaid"))))</f>
        <v/>
      </c>
      <c r="AO82" s="21">
        <f>IF(AD82=1,COUNTIFS($AE$2:$AE$301,"&lt;"&amp;AE82,$AD$2:$AD$301,1)+COUNTIF($AE$2:AE82,AE82),"")</f>
        <v/>
      </c>
    </row>
    <row r="83">
      <c r="Y83" s="19" t="n"/>
      <c r="Z83" s="22" t="n"/>
      <c r="AA83" s="22" t="n"/>
      <c r="AB83" s="22" t="n"/>
      <c r="AC83" s="19" t="n"/>
      <c r="AD83" s="21">
        <f>IF(AE83="",0,1)</f>
        <v/>
      </c>
      <c r="AE83" s="21">
        <f>IFERROR(TRIM(INDEX($A83:$X83,MATCH(Lists!$F$2,$A$1:$X$1,0))&amp;""),"")</f>
        <v/>
      </c>
      <c r="AF83" s="21">
        <f>IF(AE83="","",IFERROR(TRIM(INDEX($A83:$X83,MATCH(Lists!$F$3,$A$1:$X$1,0))&amp;""),""))</f>
        <v/>
      </c>
      <c r="AG83" s="21">
        <f>IF(AE83="","",IFERROR(TRIM(INDEX($A83:$X83,MATCH(Lists!$F$4,$A$1:$X$1,0))&amp;""),""))</f>
        <v/>
      </c>
      <c r="AH83" s="21">
        <f>IF(AE83="","",LOWER(IFERROR(TRIM(INDEX($A83:$X83,MATCH(Lists!$F$5,$A$1:$X$1,0))&amp;""),"")))</f>
        <v/>
      </c>
      <c r="AI83" s="21">
        <f>IF(AE83="","",IFERROR(TRIM(INDEX($A83:$X83,MATCH(Lists!$F$6,$A$1:$X$1,0))&amp;""),""))</f>
        <v/>
      </c>
      <c r="AJ83" s="21">
        <f>IF(AE83="","",IF(LEFT(IFERROR(TRIM(INDEX($A83:$X83,MATCH(Lists!$F$7,$A$1:$X$1,0))&amp;""),""),3)="Yes","Yes","No"))</f>
        <v/>
      </c>
      <c r="AK83" s="21">
        <f>IF(AE83="","",IFERROR(TRIM(INDEX($A83:$X83,MATCH(Lists!$F$8,$A$1:$X$1,0))&amp;""),""))</f>
        <v/>
      </c>
      <c r="AL83" s="21">
        <f>IF(AE83="","",IFERROR(IF(TRIM(INDEX($A83:$X83,MATCH(Lists!$F$9,$A$1:$X$1,0))&amp;"")="","",VALUE(TRIM(INDEX($A83:$X83,MATCH(Lists!$F$9,$A$1:$X$1,0))&amp;""))),""))</f>
        <v/>
      </c>
      <c r="AM83" s="21">
        <f>IF(AE83="","",IFERROR(TRIM(INDEX($A83:$X83,MATCH(Lists!$F$10,$A$1:$X$1,0))&amp;""),""))</f>
        <v/>
      </c>
      <c r="AN83" s="21">
        <f>IF(AE83="","",IF(OR(AM83="Paid",AM83="Partially refunded"),"Paid",IF(Z83="Yes","Paid (by hand)",IF(AM83&lt;&gt;"",AM83,"Unpaid"))))</f>
        <v/>
      </c>
      <c r="AO83" s="21">
        <f>IF(AD83=1,COUNTIFS($AE$2:$AE$301,"&lt;"&amp;AE83,$AD$2:$AD$301,1)+COUNTIF($AE$2:AE83,AE83),"")</f>
        <v/>
      </c>
    </row>
    <row r="84">
      <c r="Y84" s="19" t="n"/>
      <c r="Z84" s="22" t="n"/>
      <c r="AA84" s="22" t="n"/>
      <c r="AB84" s="22" t="n"/>
      <c r="AC84" s="19" t="n"/>
      <c r="AD84" s="21">
        <f>IF(AE84="",0,1)</f>
        <v/>
      </c>
      <c r="AE84" s="21">
        <f>IFERROR(TRIM(INDEX($A84:$X84,MATCH(Lists!$F$2,$A$1:$X$1,0))&amp;""),"")</f>
        <v/>
      </c>
      <c r="AF84" s="21">
        <f>IF(AE84="","",IFERROR(TRIM(INDEX($A84:$X84,MATCH(Lists!$F$3,$A$1:$X$1,0))&amp;""),""))</f>
        <v/>
      </c>
      <c r="AG84" s="21">
        <f>IF(AE84="","",IFERROR(TRIM(INDEX($A84:$X84,MATCH(Lists!$F$4,$A$1:$X$1,0))&amp;""),""))</f>
        <v/>
      </c>
      <c r="AH84" s="21">
        <f>IF(AE84="","",LOWER(IFERROR(TRIM(INDEX($A84:$X84,MATCH(Lists!$F$5,$A$1:$X$1,0))&amp;""),"")))</f>
        <v/>
      </c>
      <c r="AI84" s="21">
        <f>IF(AE84="","",IFERROR(TRIM(INDEX($A84:$X84,MATCH(Lists!$F$6,$A$1:$X$1,0))&amp;""),""))</f>
        <v/>
      </c>
      <c r="AJ84" s="21">
        <f>IF(AE84="","",IF(LEFT(IFERROR(TRIM(INDEX($A84:$X84,MATCH(Lists!$F$7,$A$1:$X$1,0))&amp;""),""),3)="Yes","Yes","No"))</f>
        <v/>
      </c>
      <c r="AK84" s="21">
        <f>IF(AE84="","",IFERROR(TRIM(INDEX($A84:$X84,MATCH(Lists!$F$8,$A$1:$X$1,0))&amp;""),""))</f>
        <v/>
      </c>
      <c r="AL84" s="21">
        <f>IF(AE84="","",IFERROR(IF(TRIM(INDEX($A84:$X84,MATCH(Lists!$F$9,$A$1:$X$1,0))&amp;"")="","",VALUE(TRIM(INDEX($A84:$X84,MATCH(Lists!$F$9,$A$1:$X$1,0))&amp;""))),""))</f>
        <v/>
      </c>
      <c r="AM84" s="21">
        <f>IF(AE84="","",IFERROR(TRIM(INDEX($A84:$X84,MATCH(Lists!$F$10,$A$1:$X$1,0))&amp;""),""))</f>
        <v/>
      </c>
      <c r="AN84" s="21">
        <f>IF(AE84="","",IF(OR(AM84="Paid",AM84="Partially refunded"),"Paid",IF(Z84="Yes","Paid (by hand)",IF(AM84&lt;&gt;"",AM84,"Unpaid"))))</f>
        <v/>
      </c>
      <c r="AO84" s="21">
        <f>IF(AD84=1,COUNTIFS($AE$2:$AE$301,"&lt;"&amp;AE84,$AD$2:$AD$301,1)+COUNTIF($AE$2:AE84,AE84),"")</f>
        <v/>
      </c>
    </row>
    <row r="85">
      <c r="Y85" s="19" t="n"/>
      <c r="Z85" s="22" t="n"/>
      <c r="AA85" s="22" t="n"/>
      <c r="AB85" s="22" t="n"/>
      <c r="AC85" s="19" t="n"/>
      <c r="AD85" s="21">
        <f>IF(AE85="",0,1)</f>
        <v/>
      </c>
      <c r="AE85" s="21">
        <f>IFERROR(TRIM(INDEX($A85:$X85,MATCH(Lists!$F$2,$A$1:$X$1,0))&amp;""),"")</f>
        <v/>
      </c>
      <c r="AF85" s="21">
        <f>IF(AE85="","",IFERROR(TRIM(INDEX($A85:$X85,MATCH(Lists!$F$3,$A$1:$X$1,0))&amp;""),""))</f>
        <v/>
      </c>
      <c r="AG85" s="21">
        <f>IF(AE85="","",IFERROR(TRIM(INDEX($A85:$X85,MATCH(Lists!$F$4,$A$1:$X$1,0))&amp;""),""))</f>
        <v/>
      </c>
      <c r="AH85" s="21">
        <f>IF(AE85="","",LOWER(IFERROR(TRIM(INDEX($A85:$X85,MATCH(Lists!$F$5,$A$1:$X$1,0))&amp;""),"")))</f>
        <v/>
      </c>
      <c r="AI85" s="21">
        <f>IF(AE85="","",IFERROR(TRIM(INDEX($A85:$X85,MATCH(Lists!$F$6,$A$1:$X$1,0))&amp;""),""))</f>
        <v/>
      </c>
      <c r="AJ85" s="21">
        <f>IF(AE85="","",IF(LEFT(IFERROR(TRIM(INDEX($A85:$X85,MATCH(Lists!$F$7,$A$1:$X$1,0))&amp;""),""),3)="Yes","Yes","No"))</f>
        <v/>
      </c>
      <c r="AK85" s="21">
        <f>IF(AE85="","",IFERROR(TRIM(INDEX($A85:$X85,MATCH(Lists!$F$8,$A$1:$X$1,0))&amp;""),""))</f>
        <v/>
      </c>
      <c r="AL85" s="21">
        <f>IF(AE85="","",IFERROR(IF(TRIM(INDEX($A85:$X85,MATCH(Lists!$F$9,$A$1:$X$1,0))&amp;"")="","",VALUE(TRIM(INDEX($A85:$X85,MATCH(Lists!$F$9,$A$1:$X$1,0))&amp;""))),""))</f>
        <v/>
      </c>
      <c r="AM85" s="21">
        <f>IF(AE85="","",IFERROR(TRIM(INDEX($A85:$X85,MATCH(Lists!$F$10,$A$1:$X$1,0))&amp;""),""))</f>
        <v/>
      </c>
      <c r="AN85" s="21">
        <f>IF(AE85="","",IF(OR(AM85="Paid",AM85="Partially refunded"),"Paid",IF(Z85="Yes","Paid (by hand)",IF(AM85&lt;&gt;"",AM85,"Unpaid"))))</f>
        <v/>
      </c>
      <c r="AO85" s="21">
        <f>IF(AD85=1,COUNTIFS($AE$2:$AE$301,"&lt;"&amp;AE85,$AD$2:$AD$301,1)+COUNTIF($AE$2:AE85,AE85),"")</f>
        <v/>
      </c>
    </row>
    <row r="86">
      <c r="Y86" s="19" t="n"/>
      <c r="Z86" s="22" t="n"/>
      <c r="AA86" s="22" t="n"/>
      <c r="AB86" s="22" t="n"/>
      <c r="AC86" s="19" t="n"/>
      <c r="AD86" s="21">
        <f>IF(AE86="",0,1)</f>
        <v/>
      </c>
      <c r="AE86" s="21">
        <f>IFERROR(TRIM(INDEX($A86:$X86,MATCH(Lists!$F$2,$A$1:$X$1,0))&amp;""),"")</f>
        <v/>
      </c>
      <c r="AF86" s="21">
        <f>IF(AE86="","",IFERROR(TRIM(INDEX($A86:$X86,MATCH(Lists!$F$3,$A$1:$X$1,0))&amp;""),""))</f>
        <v/>
      </c>
      <c r="AG86" s="21">
        <f>IF(AE86="","",IFERROR(TRIM(INDEX($A86:$X86,MATCH(Lists!$F$4,$A$1:$X$1,0))&amp;""),""))</f>
        <v/>
      </c>
      <c r="AH86" s="21">
        <f>IF(AE86="","",LOWER(IFERROR(TRIM(INDEX($A86:$X86,MATCH(Lists!$F$5,$A$1:$X$1,0))&amp;""),"")))</f>
        <v/>
      </c>
      <c r="AI86" s="21">
        <f>IF(AE86="","",IFERROR(TRIM(INDEX($A86:$X86,MATCH(Lists!$F$6,$A$1:$X$1,0))&amp;""),""))</f>
        <v/>
      </c>
      <c r="AJ86" s="21">
        <f>IF(AE86="","",IF(LEFT(IFERROR(TRIM(INDEX($A86:$X86,MATCH(Lists!$F$7,$A$1:$X$1,0))&amp;""),""),3)="Yes","Yes","No"))</f>
        <v/>
      </c>
      <c r="AK86" s="21">
        <f>IF(AE86="","",IFERROR(TRIM(INDEX($A86:$X86,MATCH(Lists!$F$8,$A$1:$X$1,0))&amp;""),""))</f>
        <v/>
      </c>
      <c r="AL86" s="21">
        <f>IF(AE86="","",IFERROR(IF(TRIM(INDEX($A86:$X86,MATCH(Lists!$F$9,$A$1:$X$1,0))&amp;"")="","",VALUE(TRIM(INDEX($A86:$X86,MATCH(Lists!$F$9,$A$1:$X$1,0))&amp;""))),""))</f>
        <v/>
      </c>
      <c r="AM86" s="21">
        <f>IF(AE86="","",IFERROR(TRIM(INDEX($A86:$X86,MATCH(Lists!$F$10,$A$1:$X$1,0))&amp;""),""))</f>
        <v/>
      </c>
      <c r="AN86" s="21">
        <f>IF(AE86="","",IF(OR(AM86="Paid",AM86="Partially refunded"),"Paid",IF(Z86="Yes","Paid (by hand)",IF(AM86&lt;&gt;"",AM86,"Unpaid"))))</f>
        <v/>
      </c>
      <c r="AO86" s="21">
        <f>IF(AD86=1,COUNTIFS($AE$2:$AE$301,"&lt;"&amp;AE86,$AD$2:$AD$301,1)+COUNTIF($AE$2:AE86,AE86),"")</f>
        <v/>
      </c>
    </row>
    <row r="87">
      <c r="Y87" s="19" t="n"/>
      <c r="Z87" s="22" t="n"/>
      <c r="AA87" s="22" t="n"/>
      <c r="AB87" s="22" t="n"/>
      <c r="AC87" s="19" t="n"/>
      <c r="AD87" s="21">
        <f>IF(AE87="",0,1)</f>
        <v/>
      </c>
      <c r="AE87" s="21">
        <f>IFERROR(TRIM(INDEX($A87:$X87,MATCH(Lists!$F$2,$A$1:$X$1,0))&amp;""),"")</f>
        <v/>
      </c>
      <c r="AF87" s="21">
        <f>IF(AE87="","",IFERROR(TRIM(INDEX($A87:$X87,MATCH(Lists!$F$3,$A$1:$X$1,0))&amp;""),""))</f>
        <v/>
      </c>
      <c r="AG87" s="21">
        <f>IF(AE87="","",IFERROR(TRIM(INDEX($A87:$X87,MATCH(Lists!$F$4,$A$1:$X$1,0))&amp;""),""))</f>
        <v/>
      </c>
      <c r="AH87" s="21">
        <f>IF(AE87="","",LOWER(IFERROR(TRIM(INDEX($A87:$X87,MATCH(Lists!$F$5,$A$1:$X$1,0))&amp;""),"")))</f>
        <v/>
      </c>
      <c r="AI87" s="21">
        <f>IF(AE87="","",IFERROR(TRIM(INDEX($A87:$X87,MATCH(Lists!$F$6,$A$1:$X$1,0))&amp;""),""))</f>
        <v/>
      </c>
      <c r="AJ87" s="21">
        <f>IF(AE87="","",IF(LEFT(IFERROR(TRIM(INDEX($A87:$X87,MATCH(Lists!$F$7,$A$1:$X$1,0))&amp;""),""),3)="Yes","Yes","No"))</f>
        <v/>
      </c>
      <c r="AK87" s="21">
        <f>IF(AE87="","",IFERROR(TRIM(INDEX($A87:$X87,MATCH(Lists!$F$8,$A$1:$X$1,0))&amp;""),""))</f>
        <v/>
      </c>
      <c r="AL87" s="21">
        <f>IF(AE87="","",IFERROR(IF(TRIM(INDEX($A87:$X87,MATCH(Lists!$F$9,$A$1:$X$1,0))&amp;"")="","",VALUE(TRIM(INDEX($A87:$X87,MATCH(Lists!$F$9,$A$1:$X$1,0))&amp;""))),""))</f>
        <v/>
      </c>
      <c r="AM87" s="21">
        <f>IF(AE87="","",IFERROR(TRIM(INDEX($A87:$X87,MATCH(Lists!$F$10,$A$1:$X$1,0))&amp;""),""))</f>
        <v/>
      </c>
      <c r="AN87" s="21">
        <f>IF(AE87="","",IF(OR(AM87="Paid",AM87="Partially refunded"),"Paid",IF(Z87="Yes","Paid (by hand)",IF(AM87&lt;&gt;"",AM87,"Unpaid"))))</f>
        <v/>
      </c>
      <c r="AO87" s="21">
        <f>IF(AD87=1,COUNTIFS($AE$2:$AE$301,"&lt;"&amp;AE87,$AD$2:$AD$301,1)+COUNTIF($AE$2:AE87,AE87),"")</f>
        <v/>
      </c>
    </row>
    <row r="88">
      <c r="Y88" s="19" t="n"/>
      <c r="Z88" s="22" t="n"/>
      <c r="AA88" s="22" t="n"/>
      <c r="AB88" s="22" t="n"/>
      <c r="AC88" s="19" t="n"/>
      <c r="AD88" s="21">
        <f>IF(AE88="",0,1)</f>
        <v/>
      </c>
      <c r="AE88" s="21">
        <f>IFERROR(TRIM(INDEX($A88:$X88,MATCH(Lists!$F$2,$A$1:$X$1,0))&amp;""),"")</f>
        <v/>
      </c>
      <c r="AF88" s="21">
        <f>IF(AE88="","",IFERROR(TRIM(INDEX($A88:$X88,MATCH(Lists!$F$3,$A$1:$X$1,0))&amp;""),""))</f>
        <v/>
      </c>
      <c r="AG88" s="21">
        <f>IF(AE88="","",IFERROR(TRIM(INDEX($A88:$X88,MATCH(Lists!$F$4,$A$1:$X$1,0))&amp;""),""))</f>
        <v/>
      </c>
      <c r="AH88" s="21">
        <f>IF(AE88="","",LOWER(IFERROR(TRIM(INDEX($A88:$X88,MATCH(Lists!$F$5,$A$1:$X$1,0))&amp;""),"")))</f>
        <v/>
      </c>
      <c r="AI88" s="21">
        <f>IF(AE88="","",IFERROR(TRIM(INDEX($A88:$X88,MATCH(Lists!$F$6,$A$1:$X$1,0))&amp;""),""))</f>
        <v/>
      </c>
      <c r="AJ88" s="21">
        <f>IF(AE88="","",IF(LEFT(IFERROR(TRIM(INDEX($A88:$X88,MATCH(Lists!$F$7,$A$1:$X$1,0))&amp;""),""),3)="Yes","Yes","No"))</f>
        <v/>
      </c>
      <c r="AK88" s="21">
        <f>IF(AE88="","",IFERROR(TRIM(INDEX($A88:$X88,MATCH(Lists!$F$8,$A$1:$X$1,0))&amp;""),""))</f>
        <v/>
      </c>
      <c r="AL88" s="21">
        <f>IF(AE88="","",IFERROR(IF(TRIM(INDEX($A88:$X88,MATCH(Lists!$F$9,$A$1:$X$1,0))&amp;"")="","",VALUE(TRIM(INDEX($A88:$X88,MATCH(Lists!$F$9,$A$1:$X$1,0))&amp;""))),""))</f>
        <v/>
      </c>
      <c r="AM88" s="21">
        <f>IF(AE88="","",IFERROR(TRIM(INDEX($A88:$X88,MATCH(Lists!$F$10,$A$1:$X$1,0))&amp;""),""))</f>
        <v/>
      </c>
      <c r="AN88" s="21">
        <f>IF(AE88="","",IF(OR(AM88="Paid",AM88="Partially refunded"),"Paid",IF(Z88="Yes","Paid (by hand)",IF(AM88&lt;&gt;"",AM88,"Unpaid"))))</f>
        <v/>
      </c>
      <c r="AO88" s="21">
        <f>IF(AD88=1,COUNTIFS($AE$2:$AE$301,"&lt;"&amp;AE88,$AD$2:$AD$301,1)+COUNTIF($AE$2:AE88,AE88),"")</f>
        <v/>
      </c>
    </row>
    <row r="89">
      <c r="Y89" s="19" t="n"/>
      <c r="Z89" s="22" t="n"/>
      <c r="AA89" s="22" t="n"/>
      <c r="AB89" s="22" t="n"/>
      <c r="AC89" s="19" t="n"/>
      <c r="AD89" s="21">
        <f>IF(AE89="",0,1)</f>
        <v/>
      </c>
      <c r="AE89" s="21">
        <f>IFERROR(TRIM(INDEX($A89:$X89,MATCH(Lists!$F$2,$A$1:$X$1,0))&amp;""),"")</f>
        <v/>
      </c>
      <c r="AF89" s="21">
        <f>IF(AE89="","",IFERROR(TRIM(INDEX($A89:$X89,MATCH(Lists!$F$3,$A$1:$X$1,0))&amp;""),""))</f>
        <v/>
      </c>
      <c r="AG89" s="21">
        <f>IF(AE89="","",IFERROR(TRIM(INDEX($A89:$X89,MATCH(Lists!$F$4,$A$1:$X$1,0))&amp;""),""))</f>
        <v/>
      </c>
      <c r="AH89" s="21">
        <f>IF(AE89="","",LOWER(IFERROR(TRIM(INDEX($A89:$X89,MATCH(Lists!$F$5,$A$1:$X$1,0))&amp;""),"")))</f>
        <v/>
      </c>
      <c r="AI89" s="21">
        <f>IF(AE89="","",IFERROR(TRIM(INDEX($A89:$X89,MATCH(Lists!$F$6,$A$1:$X$1,0))&amp;""),""))</f>
        <v/>
      </c>
      <c r="AJ89" s="21">
        <f>IF(AE89="","",IF(LEFT(IFERROR(TRIM(INDEX($A89:$X89,MATCH(Lists!$F$7,$A$1:$X$1,0))&amp;""),""),3)="Yes","Yes","No"))</f>
        <v/>
      </c>
      <c r="AK89" s="21">
        <f>IF(AE89="","",IFERROR(TRIM(INDEX($A89:$X89,MATCH(Lists!$F$8,$A$1:$X$1,0))&amp;""),""))</f>
        <v/>
      </c>
      <c r="AL89" s="21">
        <f>IF(AE89="","",IFERROR(IF(TRIM(INDEX($A89:$X89,MATCH(Lists!$F$9,$A$1:$X$1,0))&amp;"")="","",VALUE(TRIM(INDEX($A89:$X89,MATCH(Lists!$F$9,$A$1:$X$1,0))&amp;""))),""))</f>
        <v/>
      </c>
      <c r="AM89" s="21">
        <f>IF(AE89="","",IFERROR(TRIM(INDEX($A89:$X89,MATCH(Lists!$F$10,$A$1:$X$1,0))&amp;""),""))</f>
        <v/>
      </c>
      <c r="AN89" s="21">
        <f>IF(AE89="","",IF(OR(AM89="Paid",AM89="Partially refunded"),"Paid",IF(Z89="Yes","Paid (by hand)",IF(AM89&lt;&gt;"",AM89,"Unpaid"))))</f>
        <v/>
      </c>
      <c r="AO89" s="21">
        <f>IF(AD89=1,COUNTIFS($AE$2:$AE$301,"&lt;"&amp;AE89,$AD$2:$AD$301,1)+COUNTIF($AE$2:AE89,AE89),"")</f>
        <v/>
      </c>
    </row>
    <row r="90">
      <c r="Y90" s="19" t="n"/>
      <c r="Z90" s="22" t="n"/>
      <c r="AA90" s="22" t="n"/>
      <c r="AB90" s="22" t="n"/>
      <c r="AC90" s="19" t="n"/>
      <c r="AD90" s="21">
        <f>IF(AE90="",0,1)</f>
        <v/>
      </c>
      <c r="AE90" s="21">
        <f>IFERROR(TRIM(INDEX($A90:$X90,MATCH(Lists!$F$2,$A$1:$X$1,0))&amp;""),"")</f>
        <v/>
      </c>
      <c r="AF90" s="21">
        <f>IF(AE90="","",IFERROR(TRIM(INDEX($A90:$X90,MATCH(Lists!$F$3,$A$1:$X$1,0))&amp;""),""))</f>
        <v/>
      </c>
      <c r="AG90" s="21">
        <f>IF(AE90="","",IFERROR(TRIM(INDEX($A90:$X90,MATCH(Lists!$F$4,$A$1:$X$1,0))&amp;""),""))</f>
        <v/>
      </c>
      <c r="AH90" s="21">
        <f>IF(AE90="","",LOWER(IFERROR(TRIM(INDEX($A90:$X90,MATCH(Lists!$F$5,$A$1:$X$1,0))&amp;""),"")))</f>
        <v/>
      </c>
      <c r="AI90" s="21">
        <f>IF(AE90="","",IFERROR(TRIM(INDEX($A90:$X90,MATCH(Lists!$F$6,$A$1:$X$1,0))&amp;""),""))</f>
        <v/>
      </c>
      <c r="AJ90" s="21">
        <f>IF(AE90="","",IF(LEFT(IFERROR(TRIM(INDEX($A90:$X90,MATCH(Lists!$F$7,$A$1:$X$1,0))&amp;""),""),3)="Yes","Yes","No"))</f>
        <v/>
      </c>
      <c r="AK90" s="21">
        <f>IF(AE90="","",IFERROR(TRIM(INDEX($A90:$X90,MATCH(Lists!$F$8,$A$1:$X$1,0))&amp;""),""))</f>
        <v/>
      </c>
      <c r="AL90" s="21">
        <f>IF(AE90="","",IFERROR(IF(TRIM(INDEX($A90:$X90,MATCH(Lists!$F$9,$A$1:$X$1,0))&amp;"")="","",VALUE(TRIM(INDEX($A90:$X90,MATCH(Lists!$F$9,$A$1:$X$1,0))&amp;""))),""))</f>
        <v/>
      </c>
      <c r="AM90" s="21">
        <f>IF(AE90="","",IFERROR(TRIM(INDEX($A90:$X90,MATCH(Lists!$F$10,$A$1:$X$1,0))&amp;""),""))</f>
        <v/>
      </c>
      <c r="AN90" s="21">
        <f>IF(AE90="","",IF(OR(AM90="Paid",AM90="Partially refunded"),"Paid",IF(Z90="Yes","Paid (by hand)",IF(AM90&lt;&gt;"",AM90,"Unpaid"))))</f>
        <v/>
      </c>
      <c r="AO90" s="21">
        <f>IF(AD90=1,COUNTIFS($AE$2:$AE$301,"&lt;"&amp;AE90,$AD$2:$AD$301,1)+COUNTIF($AE$2:AE90,AE90),"")</f>
        <v/>
      </c>
    </row>
    <row r="91">
      <c r="Y91" s="19" t="n"/>
      <c r="Z91" s="22" t="n"/>
      <c r="AA91" s="22" t="n"/>
      <c r="AB91" s="22" t="n"/>
      <c r="AC91" s="19" t="n"/>
      <c r="AD91" s="21">
        <f>IF(AE91="",0,1)</f>
        <v/>
      </c>
      <c r="AE91" s="21">
        <f>IFERROR(TRIM(INDEX($A91:$X91,MATCH(Lists!$F$2,$A$1:$X$1,0))&amp;""),"")</f>
        <v/>
      </c>
      <c r="AF91" s="21">
        <f>IF(AE91="","",IFERROR(TRIM(INDEX($A91:$X91,MATCH(Lists!$F$3,$A$1:$X$1,0))&amp;""),""))</f>
        <v/>
      </c>
      <c r="AG91" s="21">
        <f>IF(AE91="","",IFERROR(TRIM(INDEX($A91:$X91,MATCH(Lists!$F$4,$A$1:$X$1,0))&amp;""),""))</f>
        <v/>
      </c>
      <c r="AH91" s="21">
        <f>IF(AE91="","",LOWER(IFERROR(TRIM(INDEX($A91:$X91,MATCH(Lists!$F$5,$A$1:$X$1,0))&amp;""),"")))</f>
        <v/>
      </c>
      <c r="AI91" s="21">
        <f>IF(AE91="","",IFERROR(TRIM(INDEX($A91:$X91,MATCH(Lists!$F$6,$A$1:$X$1,0))&amp;""),""))</f>
        <v/>
      </c>
      <c r="AJ91" s="21">
        <f>IF(AE91="","",IF(LEFT(IFERROR(TRIM(INDEX($A91:$X91,MATCH(Lists!$F$7,$A$1:$X$1,0))&amp;""),""),3)="Yes","Yes","No"))</f>
        <v/>
      </c>
      <c r="AK91" s="21">
        <f>IF(AE91="","",IFERROR(TRIM(INDEX($A91:$X91,MATCH(Lists!$F$8,$A$1:$X$1,0))&amp;""),""))</f>
        <v/>
      </c>
      <c r="AL91" s="21">
        <f>IF(AE91="","",IFERROR(IF(TRIM(INDEX($A91:$X91,MATCH(Lists!$F$9,$A$1:$X$1,0))&amp;"")="","",VALUE(TRIM(INDEX($A91:$X91,MATCH(Lists!$F$9,$A$1:$X$1,0))&amp;""))),""))</f>
        <v/>
      </c>
      <c r="AM91" s="21">
        <f>IF(AE91="","",IFERROR(TRIM(INDEX($A91:$X91,MATCH(Lists!$F$10,$A$1:$X$1,0))&amp;""),""))</f>
        <v/>
      </c>
      <c r="AN91" s="21">
        <f>IF(AE91="","",IF(OR(AM91="Paid",AM91="Partially refunded"),"Paid",IF(Z91="Yes","Paid (by hand)",IF(AM91&lt;&gt;"",AM91,"Unpaid"))))</f>
        <v/>
      </c>
      <c r="AO91" s="21">
        <f>IF(AD91=1,COUNTIFS($AE$2:$AE$301,"&lt;"&amp;AE91,$AD$2:$AD$301,1)+COUNTIF($AE$2:AE91,AE91),"")</f>
        <v/>
      </c>
    </row>
    <row r="92">
      <c r="Y92" s="19" t="n"/>
      <c r="Z92" s="22" t="n"/>
      <c r="AA92" s="22" t="n"/>
      <c r="AB92" s="22" t="n"/>
      <c r="AC92" s="19" t="n"/>
      <c r="AD92" s="21">
        <f>IF(AE92="",0,1)</f>
        <v/>
      </c>
      <c r="AE92" s="21">
        <f>IFERROR(TRIM(INDEX($A92:$X92,MATCH(Lists!$F$2,$A$1:$X$1,0))&amp;""),"")</f>
        <v/>
      </c>
      <c r="AF92" s="21">
        <f>IF(AE92="","",IFERROR(TRIM(INDEX($A92:$X92,MATCH(Lists!$F$3,$A$1:$X$1,0))&amp;""),""))</f>
        <v/>
      </c>
      <c r="AG92" s="21">
        <f>IF(AE92="","",IFERROR(TRIM(INDEX($A92:$X92,MATCH(Lists!$F$4,$A$1:$X$1,0))&amp;""),""))</f>
        <v/>
      </c>
      <c r="AH92" s="21">
        <f>IF(AE92="","",LOWER(IFERROR(TRIM(INDEX($A92:$X92,MATCH(Lists!$F$5,$A$1:$X$1,0))&amp;""),"")))</f>
        <v/>
      </c>
      <c r="AI92" s="21">
        <f>IF(AE92="","",IFERROR(TRIM(INDEX($A92:$X92,MATCH(Lists!$F$6,$A$1:$X$1,0))&amp;""),""))</f>
        <v/>
      </c>
      <c r="AJ92" s="21">
        <f>IF(AE92="","",IF(LEFT(IFERROR(TRIM(INDEX($A92:$X92,MATCH(Lists!$F$7,$A$1:$X$1,0))&amp;""),""),3)="Yes","Yes","No"))</f>
        <v/>
      </c>
      <c r="AK92" s="21">
        <f>IF(AE92="","",IFERROR(TRIM(INDEX($A92:$X92,MATCH(Lists!$F$8,$A$1:$X$1,0))&amp;""),""))</f>
        <v/>
      </c>
      <c r="AL92" s="21">
        <f>IF(AE92="","",IFERROR(IF(TRIM(INDEX($A92:$X92,MATCH(Lists!$F$9,$A$1:$X$1,0))&amp;"")="","",VALUE(TRIM(INDEX($A92:$X92,MATCH(Lists!$F$9,$A$1:$X$1,0))&amp;""))),""))</f>
        <v/>
      </c>
      <c r="AM92" s="21">
        <f>IF(AE92="","",IFERROR(TRIM(INDEX($A92:$X92,MATCH(Lists!$F$10,$A$1:$X$1,0))&amp;""),""))</f>
        <v/>
      </c>
      <c r="AN92" s="21">
        <f>IF(AE92="","",IF(OR(AM92="Paid",AM92="Partially refunded"),"Paid",IF(Z92="Yes","Paid (by hand)",IF(AM92&lt;&gt;"",AM92,"Unpaid"))))</f>
        <v/>
      </c>
      <c r="AO92" s="21">
        <f>IF(AD92=1,COUNTIFS($AE$2:$AE$301,"&lt;"&amp;AE92,$AD$2:$AD$301,1)+COUNTIF($AE$2:AE92,AE92),"")</f>
        <v/>
      </c>
    </row>
    <row r="93">
      <c r="Y93" s="19" t="n"/>
      <c r="Z93" s="22" t="n"/>
      <c r="AA93" s="22" t="n"/>
      <c r="AB93" s="22" t="n"/>
      <c r="AC93" s="19" t="n"/>
      <c r="AD93" s="21">
        <f>IF(AE93="",0,1)</f>
        <v/>
      </c>
      <c r="AE93" s="21">
        <f>IFERROR(TRIM(INDEX($A93:$X93,MATCH(Lists!$F$2,$A$1:$X$1,0))&amp;""),"")</f>
        <v/>
      </c>
      <c r="AF93" s="21">
        <f>IF(AE93="","",IFERROR(TRIM(INDEX($A93:$X93,MATCH(Lists!$F$3,$A$1:$X$1,0))&amp;""),""))</f>
        <v/>
      </c>
      <c r="AG93" s="21">
        <f>IF(AE93="","",IFERROR(TRIM(INDEX($A93:$X93,MATCH(Lists!$F$4,$A$1:$X$1,0))&amp;""),""))</f>
        <v/>
      </c>
      <c r="AH93" s="21">
        <f>IF(AE93="","",LOWER(IFERROR(TRIM(INDEX($A93:$X93,MATCH(Lists!$F$5,$A$1:$X$1,0))&amp;""),"")))</f>
        <v/>
      </c>
      <c r="AI93" s="21">
        <f>IF(AE93="","",IFERROR(TRIM(INDEX($A93:$X93,MATCH(Lists!$F$6,$A$1:$X$1,0))&amp;""),""))</f>
        <v/>
      </c>
      <c r="AJ93" s="21">
        <f>IF(AE93="","",IF(LEFT(IFERROR(TRIM(INDEX($A93:$X93,MATCH(Lists!$F$7,$A$1:$X$1,0))&amp;""),""),3)="Yes","Yes","No"))</f>
        <v/>
      </c>
      <c r="AK93" s="21">
        <f>IF(AE93="","",IFERROR(TRIM(INDEX($A93:$X93,MATCH(Lists!$F$8,$A$1:$X$1,0))&amp;""),""))</f>
        <v/>
      </c>
      <c r="AL93" s="21">
        <f>IF(AE93="","",IFERROR(IF(TRIM(INDEX($A93:$X93,MATCH(Lists!$F$9,$A$1:$X$1,0))&amp;"")="","",VALUE(TRIM(INDEX($A93:$X93,MATCH(Lists!$F$9,$A$1:$X$1,0))&amp;""))),""))</f>
        <v/>
      </c>
      <c r="AM93" s="21">
        <f>IF(AE93="","",IFERROR(TRIM(INDEX($A93:$X93,MATCH(Lists!$F$10,$A$1:$X$1,0))&amp;""),""))</f>
        <v/>
      </c>
      <c r="AN93" s="21">
        <f>IF(AE93="","",IF(OR(AM93="Paid",AM93="Partially refunded"),"Paid",IF(Z93="Yes","Paid (by hand)",IF(AM93&lt;&gt;"",AM93,"Unpaid"))))</f>
        <v/>
      </c>
      <c r="AO93" s="21">
        <f>IF(AD93=1,COUNTIFS($AE$2:$AE$301,"&lt;"&amp;AE93,$AD$2:$AD$301,1)+COUNTIF($AE$2:AE93,AE93),"")</f>
        <v/>
      </c>
    </row>
    <row r="94">
      <c r="Y94" s="19" t="n"/>
      <c r="Z94" s="22" t="n"/>
      <c r="AA94" s="22" t="n"/>
      <c r="AB94" s="22" t="n"/>
      <c r="AC94" s="19" t="n"/>
      <c r="AD94" s="21">
        <f>IF(AE94="",0,1)</f>
        <v/>
      </c>
      <c r="AE94" s="21">
        <f>IFERROR(TRIM(INDEX($A94:$X94,MATCH(Lists!$F$2,$A$1:$X$1,0))&amp;""),"")</f>
        <v/>
      </c>
      <c r="AF94" s="21">
        <f>IF(AE94="","",IFERROR(TRIM(INDEX($A94:$X94,MATCH(Lists!$F$3,$A$1:$X$1,0))&amp;""),""))</f>
        <v/>
      </c>
      <c r="AG94" s="21">
        <f>IF(AE94="","",IFERROR(TRIM(INDEX($A94:$X94,MATCH(Lists!$F$4,$A$1:$X$1,0))&amp;""),""))</f>
        <v/>
      </c>
      <c r="AH94" s="21">
        <f>IF(AE94="","",LOWER(IFERROR(TRIM(INDEX($A94:$X94,MATCH(Lists!$F$5,$A$1:$X$1,0))&amp;""),"")))</f>
        <v/>
      </c>
      <c r="AI94" s="21">
        <f>IF(AE94="","",IFERROR(TRIM(INDEX($A94:$X94,MATCH(Lists!$F$6,$A$1:$X$1,0))&amp;""),""))</f>
        <v/>
      </c>
      <c r="AJ94" s="21">
        <f>IF(AE94="","",IF(LEFT(IFERROR(TRIM(INDEX($A94:$X94,MATCH(Lists!$F$7,$A$1:$X$1,0))&amp;""),""),3)="Yes","Yes","No"))</f>
        <v/>
      </c>
      <c r="AK94" s="21">
        <f>IF(AE94="","",IFERROR(TRIM(INDEX($A94:$X94,MATCH(Lists!$F$8,$A$1:$X$1,0))&amp;""),""))</f>
        <v/>
      </c>
      <c r="AL94" s="21">
        <f>IF(AE94="","",IFERROR(IF(TRIM(INDEX($A94:$X94,MATCH(Lists!$F$9,$A$1:$X$1,0))&amp;"")="","",VALUE(TRIM(INDEX($A94:$X94,MATCH(Lists!$F$9,$A$1:$X$1,0))&amp;""))),""))</f>
        <v/>
      </c>
      <c r="AM94" s="21">
        <f>IF(AE94="","",IFERROR(TRIM(INDEX($A94:$X94,MATCH(Lists!$F$10,$A$1:$X$1,0))&amp;""),""))</f>
        <v/>
      </c>
      <c r="AN94" s="21">
        <f>IF(AE94="","",IF(OR(AM94="Paid",AM94="Partially refunded"),"Paid",IF(Z94="Yes","Paid (by hand)",IF(AM94&lt;&gt;"",AM94,"Unpaid"))))</f>
        <v/>
      </c>
      <c r="AO94" s="21">
        <f>IF(AD94=1,COUNTIFS($AE$2:$AE$301,"&lt;"&amp;AE94,$AD$2:$AD$301,1)+COUNTIF($AE$2:AE94,AE94),"")</f>
        <v/>
      </c>
    </row>
    <row r="95">
      <c r="Y95" s="19" t="n"/>
      <c r="Z95" s="22" t="n"/>
      <c r="AA95" s="22" t="n"/>
      <c r="AB95" s="22" t="n"/>
      <c r="AC95" s="19" t="n"/>
      <c r="AD95" s="21">
        <f>IF(AE95="",0,1)</f>
        <v/>
      </c>
      <c r="AE95" s="21">
        <f>IFERROR(TRIM(INDEX($A95:$X95,MATCH(Lists!$F$2,$A$1:$X$1,0))&amp;""),"")</f>
        <v/>
      </c>
      <c r="AF95" s="21">
        <f>IF(AE95="","",IFERROR(TRIM(INDEX($A95:$X95,MATCH(Lists!$F$3,$A$1:$X$1,0))&amp;""),""))</f>
        <v/>
      </c>
      <c r="AG95" s="21">
        <f>IF(AE95="","",IFERROR(TRIM(INDEX($A95:$X95,MATCH(Lists!$F$4,$A$1:$X$1,0))&amp;""),""))</f>
        <v/>
      </c>
      <c r="AH95" s="21">
        <f>IF(AE95="","",LOWER(IFERROR(TRIM(INDEX($A95:$X95,MATCH(Lists!$F$5,$A$1:$X$1,0))&amp;""),"")))</f>
        <v/>
      </c>
      <c r="AI95" s="21">
        <f>IF(AE95="","",IFERROR(TRIM(INDEX($A95:$X95,MATCH(Lists!$F$6,$A$1:$X$1,0))&amp;""),""))</f>
        <v/>
      </c>
      <c r="AJ95" s="21">
        <f>IF(AE95="","",IF(LEFT(IFERROR(TRIM(INDEX($A95:$X95,MATCH(Lists!$F$7,$A$1:$X$1,0))&amp;""),""),3)="Yes","Yes","No"))</f>
        <v/>
      </c>
      <c r="AK95" s="21">
        <f>IF(AE95="","",IFERROR(TRIM(INDEX($A95:$X95,MATCH(Lists!$F$8,$A$1:$X$1,0))&amp;""),""))</f>
        <v/>
      </c>
      <c r="AL95" s="21">
        <f>IF(AE95="","",IFERROR(IF(TRIM(INDEX($A95:$X95,MATCH(Lists!$F$9,$A$1:$X$1,0))&amp;"")="","",VALUE(TRIM(INDEX($A95:$X95,MATCH(Lists!$F$9,$A$1:$X$1,0))&amp;""))),""))</f>
        <v/>
      </c>
      <c r="AM95" s="21">
        <f>IF(AE95="","",IFERROR(TRIM(INDEX($A95:$X95,MATCH(Lists!$F$10,$A$1:$X$1,0))&amp;""),""))</f>
        <v/>
      </c>
      <c r="AN95" s="21">
        <f>IF(AE95="","",IF(OR(AM95="Paid",AM95="Partially refunded"),"Paid",IF(Z95="Yes","Paid (by hand)",IF(AM95&lt;&gt;"",AM95,"Unpaid"))))</f>
        <v/>
      </c>
      <c r="AO95" s="21">
        <f>IF(AD95=1,COUNTIFS($AE$2:$AE$301,"&lt;"&amp;AE95,$AD$2:$AD$301,1)+COUNTIF($AE$2:AE95,AE95),"")</f>
        <v/>
      </c>
    </row>
    <row r="96">
      <c r="Y96" s="19" t="n"/>
      <c r="Z96" s="22" t="n"/>
      <c r="AA96" s="22" t="n"/>
      <c r="AB96" s="22" t="n"/>
      <c r="AC96" s="19" t="n"/>
      <c r="AD96" s="21">
        <f>IF(AE96="",0,1)</f>
        <v/>
      </c>
      <c r="AE96" s="21">
        <f>IFERROR(TRIM(INDEX($A96:$X96,MATCH(Lists!$F$2,$A$1:$X$1,0))&amp;""),"")</f>
        <v/>
      </c>
      <c r="AF96" s="21">
        <f>IF(AE96="","",IFERROR(TRIM(INDEX($A96:$X96,MATCH(Lists!$F$3,$A$1:$X$1,0))&amp;""),""))</f>
        <v/>
      </c>
      <c r="AG96" s="21">
        <f>IF(AE96="","",IFERROR(TRIM(INDEX($A96:$X96,MATCH(Lists!$F$4,$A$1:$X$1,0))&amp;""),""))</f>
        <v/>
      </c>
      <c r="AH96" s="21">
        <f>IF(AE96="","",LOWER(IFERROR(TRIM(INDEX($A96:$X96,MATCH(Lists!$F$5,$A$1:$X$1,0))&amp;""),"")))</f>
        <v/>
      </c>
      <c r="AI96" s="21">
        <f>IF(AE96="","",IFERROR(TRIM(INDEX($A96:$X96,MATCH(Lists!$F$6,$A$1:$X$1,0))&amp;""),""))</f>
        <v/>
      </c>
      <c r="AJ96" s="21">
        <f>IF(AE96="","",IF(LEFT(IFERROR(TRIM(INDEX($A96:$X96,MATCH(Lists!$F$7,$A$1:$X$1,0))&amp;""),""),3)="Yes","Yes","No"))</f>
        <v/>
      </c>
      <c r="AK96" s="21">
        <f>IF(AE96="","",IFERROR(TRIM(INDEX($A96:$X96,MATCH(Lists!$F$8,$A$1:$X$1,0))&amp;""),""))</f>
        <v/>
      </c>
      <c r="AL96" s="21">
        <f>IF(AE96="","",IFERROR(IF(TRIM(INDEX($A96:$X96,MATCH(Lists!$F$9,$A$1:$X$1,0))&amp;"")="","",VALUE(TRIM(INDEX($A96:$X96,MATCH(Lists!$F$9,$A$1:$X$1,0))&amp;""))),""))</f>
        <v/>
      </c>
      <c r="AM96" s="21">
        <f>IF(AE96="","",IFERROR(TRIM(INDEX($A96:$X96,MATCH(Lists!$F$10,$A$1:$X$1,0))&amp;""),""))</f>
        <v/>
      </c>
      <c r="AN96" s="21">
        <f>IF(AE96="","",IF(OR(AM96="Paid",AM96="Partially refunded"),"Paid",IF(Z96="Yes","Paid (by hand)",IF(AM96&lt;&gt;"",AM96,"Unpaid"))))</f>
        <v/>
      </c>
      <c r="AO96" s="21">
        <f>IF(AD96=1,COUNTIFS($AE$2:$AE$301,"&lt;"&amp;AE96,$AD$2:$AD$301,1)+COUNTIF($AE$2:AE96,AE96),"")</f>
        <v/>
      </c>
    </row>
    <row r="97">
      <c r="Y97" s="19" t="n"/>
      <c r="Z97" s="22" t="n"/>
      <c r="AA97" s="22" t="n"/>
      <c r="AB97" s="22" t="n"/>
      <c r="AC97" s="19" t="n"/>
      <c r="AD97" s="21">
        <f>IF(AE97="",0,1)</f>
        <v/>
      </c>
      <c r="AE97" s="21">
        <f>IFERROR(TRIM(INDEX($A97:$X97,MATCH(Lists!$F$2,$A$1:$X$1,0))&amp;""),"")</f>
        <v/>
      </c>
      <c r="AF97" s="21">
        <f>IF(AE97="","",IFERROR(TRIM(INDEX($A97:$X97,MATCH(Lists!$F$3,$A$1:$X$1,0))&amp;""),""))</f>
        <v/>
      </c>
      <c r="AG97" s="21">
        <f>IF(AE97="","",IFERROR(TRIM(INDEX($A97:$X97,MATCH(Lists!$F$4,$A$1:$X$1,0))&amp;""),""))</f>
        <v/>
      </c>
      <c r="AH97" s="21">
        <f>IF(AE97="","",LOWER(IFERROR(TRIM(INDEX($A97:$X97,MATCH(Lists!$F$5,$A$1:$X$1,0))&amp;""),"")))</f>
        <v/>
      </c>
      <c r="AI97" s="21">
        <f>IF(AE97="","",IFERROR(TRIM(INDEX($A97:$X97,MATCH(Lists!$F$6,$A$1:$X$1,0))&amp;""),""))</f>
        <v/>
      </c>
      <c r="AJ97" s="21">
        <f>IF(AE97="","",IF(LEFT(IFERROR(TRIM(INDEX($A97:$X97,MATCH(Lists!$F$7,$A$1:$X$1,0))&amp;""),""),3)="Yes","Yes","No"))</f>
        <v/>
      </c>
      <c r="AK97" s="21">
        <f>IF(AE97="","",IFERROR(TRIM(INDEX($A97:$X97,MATCH(Lists!$F$8,$A$1:$X$1,0))&amp;""),""))</f>
        <v/>
      </c>
      <c r="AL97" s="21">
        <f>IF(AE97="","",IFERROR(IF(TRIM(INDEX($A97:$X97,MATCH(Lists!$F$9,$A$1:$X$1,0))&amp;"")="","",VALUE(TRIM(INDEX($A97:$X97,MATCH(Lists!$F$9,$A$1:$X$1,0))&amp;""))),""))</f>
        <v/>
      </c>
      <c r="AM97" s="21">
        <f>IF(AE97="","",IFERROR(TRIM(INDEX($A97:$X97,MATCH(Lists!$F$10,$A$1:$X$1,0))&amp;""),""))</f>
        <v/>
      </c>
      <c r="AN97" s="21">
        <f>IF(AE97="","",IF(OR(AM97="Paid",AM97="Partially refunded"),"Paid",IF(Z97="Yes","Paid (by hand)",IF(AM97&lt;&gt;"",AM97,"Unpaid"))))</f>
        <v/>
      </c>
      <c r="AO97" s="21">
        <f>IF(AD97=1,COUNTIFS($AE$2:$AE$301,"&lt;"&amp;AE97,$AD$2:$AD$301,1)+COUNTIF($AE$2:AE97,AE97),"")</f>
        <v/>
      </c>
    </row>
    <row r="98">
      <c r="Y98" s="19" t="n"/>
      <c r="Z98" s="22" t="n"/>
      <c r="AA98" s="22" t="n"/>
      <c r="AB98" s="22" t="n"/>
      <c r="AC98" s="19" t="n"/>
      <c r="AD98" s="21">
        <f>IF(AE98="",0,1)</f>
        <v/>
      </c>
      <c r="AE98" s="21">
        <f>IFERROR(TRIM(INDEX($A98:$X98,MATCH(Lists!$F$2,$A$1:$X$1,0))&amp;""),"")</f>
        <v/>
      </c>
      <c r="AF98" s="21">
        <f>IF(AE98="","",IFERROR(TRIM(INDEX($A98:$X98,MATCH(Lists!$F$3,$A$1:$X$1,0))&amp;""),""))</f>
        <v/>
      </c>
      <c r="AG98" s="21">
        <f>IF(AE98="","",IFERROR(TRIM(INDEX($A98:$X98,MATCH(Lists!$F$4,$A$1:$X$1,0))&amp;""),""))</f>
        <v/>
      </c>
      <c r="AH98" s="21">
        <f>IF(AE98="","",LOWER(IFERROR(TRIM(INDEX($A98:$X98,MATCH(Lists!$F$5,$A$1:$X$1,0))&amp;""),"")))</f>
        <v/>
      </c>
      <c r="AI98" s="21">
        <f>IF(AE98="","",IFERROR(TRIM(INDEX($A98:$X98,MATCH(Lists!$F$6,$A$1:$X$1,0))&amp;""),""))</f>
        <v/>
      </c>
      <c r="AJ98" s="21">
        <f>IF(AE98="","",IF(LEFT(IFERROR(TRIM(INDEX($A98:$X98,MATCH(Lists!$F$7,$A$1:$X$1,0))&amp;""),""),3)="Yes","Yes","No"))</f>
        <v/>
      </c>
      <c r="AK98" s="21">
        <f>IF(AE98="","",IFERROR(TRIM(INDEX($A98:$X98,MATCH(Lists!$F$8,$A$1:$X$1,0))&amp;""),""))</f>
        <v/>
      </c>
      <c r="AL98" s="21">
        <f>IF(AE98="","",IFERROR(IF(TRIM(INDEX($A98:$X98,MATCH(Lists!$F$9,$A$1:$X$1,0))&amp;"")="","",VALUE(TRIM(INDEX($A98:$X98,MATCH(Lists!$F$9,$A$1:$X$1,0))&amp;""))),""))</f>
        <v/>
      </c>
      <c r="AM98" s="21">
        <f>IF(AE98="","",IFERROR(TRIM(INDEX($A98:$X98,MATCH(Lists!$F$10,$A$1:$X$1,0))&amp;""),""))</f>
        <v/>
      </c>
      <c r="AN98" s="21">
        <f>IF(AE98="","",IF(OR(AM98="Paid",AM98="Partially refunded"),"Paid",IF(Z98="Yes","Paid (by hand)",IF(AM98&lt;&gt;"",AM98,"Unpaid"))))</f>
        <v/>
      </c>
      <c r="AO98" s="21">
        <f>IF(AD98=1,COUNTIFS($AE$2:$AE$301,"&lt;"&amp;AE98,$AD$2:$AD$301,1)+COUNTIF($AE$2:AE98,AE98),"")</f>
        <v/>
      </c>
    </row>
    <row r="99">
      <c r="Y99" s="19" t="n"/>
      <c r="Z99" s="22" t="n"/>
      <c r="AA99" s="22" t="n"/>
      <c r="AB99" s="22" t="n"/>
      <c r="AC99" s="19" t="n"/>
      <c r="AD99" s="21">
        <f>IF(AE99="",0,1)</f>
        <v/>
      </c>
      <c r="AE99" s="21">
        <f>IFERROR(TRIM(INDEX($A99:$X99,MATCH(Lists!$F$2,$A$1:$X$1,0))&amp;""),"")</f>
        <v/>
      </c>
      <c r="AF99" s="21">
        <f>IF(AE99="","",IFERROR(TRIM(INDEX($A99:$X99,MATCH(Lists!$F$3,$A$1:$X$1,0))&amp;""),""))</f>
        <v/>
      </c>
      <c r="AG99" s="21">
        <f>IF(AE99="","",IFERROR(TRIM(INDEX($A99:$X99,MATCH(Lists!$F$4,$A$1:$X$1,0))&amp;""),""))</f>
        <v/>
      </c>
      <c r="AH99" s="21">
        <f>IF(AE99="","",LOWER(IFERROR(TRIM(INDEX($A99:$X99,MATCH(Lists!$F$5,$A$1:$X$1,0))&amp;""),"")))</f>
        <v/>
      </c>
      <c r="AI99" s="21">
        <f>IF(AE99="","",IFERROR(TRIM(INDEX($A99:$X99,MATCH(Lists!$F$6,$A$1:$X$1,0))&amp;""),""))</f>
        <v/>
      </c>
      <c r="AJ99" s="21">
        <f>IF(AE99="","",IF(LEFT(IFERROR(TRIM(INDEX($A99:$X99,MATCH(Lists!$F$7,$A$1:$X$1,0))&amp;""),""),3)="Yes","Yes","No"))</f>
        <v/>
      </c>
      <c r="AK99" s="21">
        <f>IF(AE99="","",IFERROR(TRIM(INDEX($A99:$X99,MATCH(Lists!$F$8,$A$1:$X$1,0))&amp;""),""))</f>
        <v/>
      </c>
      <c r="AL99" s="21">
        <f>IF(AE99="","",IFERROR(IF(TRIM(INDEX($A99:$X99,MATCH(Lists!$F$9,$A$1:$X$1,0))&amp;"")="","",VALUE(TRIM(INDEX($A99:$X99,MATCH(Lists!$F$9,$A$1:$X$1,0))&amp;""))),""))</f>
        <v/>
      </c>
      <c r="AM99" s="21">
        <f>IF(AE99="","",IFERROR(TRIM(INDEX($A99:$X99,MATCH(Lists!$F$10,$A$1:$X$1,0))&amp;""),""))</f>
        <v/>
      </c>
      <c r="AN99" s="21">
        <f>IF(AE99="","",IF(OR(AM99="Paid",AM99="Partially refunded"),"Paid",IF(Z99="Yes","Paid (by hand)",IF(AM99&lt;&gt;"",AM99,"Unpaid"))))</f>
        <v/>
      </c>
      <c r="AO99" s="21">
        <f>IF(AD99=1,COUNTIFS($AE$2:$AE$301,"&lt;"&amp;AE99,$AD$2:$AD$301,1)+COUNTIF($AE$2:AE99,AE99),"")</f>
        <v/>
      </c>
    </row>
    <row r="100">
      <c r="Y100" s="19" t="n"/>
      <c r="Z100" s="22" t="n"/>
      <c r="AA100" s="22" t="n"/>
      <c r="AB100" s="22" t="n"/>
      <c r="AC100" s="19" t="n"/>
      <c r="AD100" s="21">
        <f>IF(AE100="",0,1)</f>
        <v/>
      </c>
      <c r="AE100" s="21">
        <f>IFERROR(TRIM(INDEX($A100:$X100,MATCH(Lists!$F$2,$A$1:$X$1,0))&amp;""),"")</f>
        <v/>
      </c>
      <c r="AF100" s="21">
        <f>IF(AE100="","",IFERROR(TRIM(INDEX($A100:$X100,MATCH(Lists!$F$3,$A$1:$X$1,0))&amp;""),""))</f>
        <v/>
      </c>
      <c r="AG100" s="21">
        <f>IF(AE100="","",IFERROR(TRIM(INDEX($A100:$X100,MATCH(Lists!$F$4,$A$1:$X$1,0))&amp;""),""))</f>
        <v/>
      </c>
      <c r="AH100" s="21">
        <f>IF(AE100="","",LOWER(IFERROR(TRIM(INDEX($A100:$X100,MATCH(Lists!$F$5,$A$1:$X$1,0))&amp;""),"")))</f>
        <v/>
      </c>
      <c r="AI100" s="21">
        <f>IF(AE100="","",IFERROR(TRIM(INDEX($A100:$X100,MATCH(Lists!$F$6,$A$1:$X$1,0))&amp;""),""))</f>
        <v/>
      </c>
      <c r="AJ100" s="21">
        <f>IF(AE100="","",IF(LEFT(IFERROR(TRIM(INDEX($A100:$X100,MATCH(Lists!$F$7,$A$1:$X$1,0))&amp;""),""),3)="Yes","Yes","No"))</f>
        <v/>
      </c>
      <c r="AK100" s="21">
        <f>IF(AE100="","",IFERROR(TRIM(INDEX($A100:$X100,MATCH(Lists!$F$8,$A$1:$X$1,0))&amp;""),""))</f>
        <v/>
      </c>
      <c r="AL100" s="21">
        <f>IF(AE100="","",IFERROR(IF(TRIM(INDEX($A100:$X100,MATCH(Lists!$F$9,$A$1:$X$1,0))&amp;"")="","",VALUE(TRIM(INDEX($A100:$X100,MATCH(Lists!$F$9,$A$1:$X$1,0))&amp;""))),""))</f>
        <v/>
      </c>
      <c r="AM100" s="21">
        <f>IF(AE100="","",IFERROR(TRIM(INDEX($A100:$X100,MATCH(Lists!$F$10,$A$1:$X$1,0))&amp;""),""))</f>
        <v/>
      </c>
      <c r="AN100" s="21">
        <f>IF(AE100="","",IF(OR(AM100="Paid",AM100="Partially refunded"),"Paid",IF(Z100="Yes","Paid (by hand)",IF(AM100&lt;&gt;"",AM100,"Unpaid"))))</f>
        <v/>
      </c>
      <c r="AO100" s="21">
        <f>IF(AD100=1,COUNTIFS($AE$2:$AE$301,"&lt;"&amp;AE100,$AD$2:$AD$301,1)+COUNTIF($AE$2:AE100,AE100),"")</f>
        <v/>
      </c>
    </row>
    <row r="101">
      <c r="Y101" s="19" t="n"/>
      <c r="Z101" s="22" t="n"/>
      <c r="AA101" s="22" t="n"/>
      <c r="AB101" s="22" t="n"/>
      <c r="AC101" s="19" t="n"/>
      <c r="AD101" s="21">
        <f>IF(AE101="",0,1)</f>
        <v/>
      </c>
      <c r="AE101" s="21">
        <f>IFERROR(TRIM(INDEX($A101:$X101,MATCH(Lists!$F$2,$A$1:$X$1,0))&amp;""),"")</f>
        <v/>
      </c>
      <c r="AF101" s="21">
        <f>IF(AE101="","",IFERROR(TRIM(INDEX($A101:$X101,MATCH(Lists!$F$3,$A$1:$X$1,0))&amp;""),""))</f>
        <v/>
      </c>
      <c r="AG101" s="21">
        <f>IF(AE101="","",IFERROR(TRIM(INDEX($A101:$X101,MATCH(Lists!$F$4,$A$1:$X$1,0))&amp;""),""))</f>
        <v/>
      </c>
      <c r="AH101" s="21">
        <f>IF(AE101="","",LOWER(IFERROR(TRIM(INDEX($A101:$X101,MATCH(Lists!$F$5,$A$1:$X$1,0))&amp;""),"")))</f>
        <v/>
      </c>
      <c r="AI101" s="21">
        <f>IF(AE101="","",IFERROR(TRIM(INDEX($A101:$X101,MATCH(Lists!$F$6,$A$1:$X$1,0))&amp;""),""))</f>
        <v/>
      </c>
      <c r="AJ101" s="21">
        <f>IF(AE101="","",IF(LEFT(IFERROR(TRIM(INDEX($A101:$X101,MATCH(Lists!$F$7,$A$1:$X$1,0))&amp;""),""),3)="Yes","Yes","No"))</f>
        <v/>
      </c>
      <c r="AK101" s="21">
        <f>IF(AE101="","",IFERROR(TRIM(INDEX($A101:$X101,MATCH(Lists!$F$8,$A$1:$X$1,0))&amp;""),""))</f>
        <v/>
      </c>
      <c r="AL101" s="21">
        <f>IF(AE101="","",IFERROR(IF(TRIM(INDEX($A101:$X101,MATCH(Lists!$F$9,$A$1:$X$1,0))&amp;"")="","",VALUE(TRIM(INDEX($A101:$X101,MATCH(Lists!$F$9,$A$1:$X$1,0))&amp;""))),""))</f>
        <v/>
      </c>
      <c r="AM101" s="21">
        <f>IF(AE101="","",IFERROR(TRIM(INDEX($A101:$X101,MATCH(Lists!$F$10,$A$1:$X$1,0))&amp;""),""))</f>
        <v/>
      </c>
      <c r="AN101" s="21">
        <f>IF(AE101="","",IF(OR(AM101="Paid",AM101="Partially refunded"),"Paid",IF(Z101="Yes","Paid (by hand)",IF(AM101&lt;&gt;"",AM101,"Unpaid"))))</f>
        <v/>
      </c>
      <c r="AO101" s="21">
        <f>IF(AD101=1,COUNTIFS($AE$2:$AE$301,"&lt;"&amp;AE101,$AD$2:$AD$301,1)+COUNTIF($AE$2:AE101,AE101),"")</f>
        <v/>
      </c>
    </row>
    <row r="102">
      <c r="Y102" s="19" t="n"/>
      <c r="Z102" s="22" t="n"/>
      <c r="AA102" s="22" t="n"/>
      <c r="AB102" s="22" t="n"/>
      <c r="AC102" s="19" t="n"/>
      <c r="AD102" s="21">
        <f>IF(AE102="",0,1)</f>
        <v/>
      </c>
      <c r="AE102" s="21">
        <f>IFERROR(TRIM(INDEX($A102:$X102,MATCH(Lists!$F$2,$A$1:$X$1,0))&amp;""),"")</f>
        <v/>
      </c>
      <c r="AF102" s="21">
        <f>IF(AE102="","",IFERROR(TRIM(INDEX($A102:$X102,MATCH(Lists!$F$3,$A$1:$X$1,0))&amp;""),""))</f>
        <v/>
      </c>
      <c r="AG102" s="21">
        <f>IF(AE102="","",IFERROR(TRIM(INDEX($A102:$X102,MATCH(Lists!$F$4,$A$1:$X$1,0))&amp;""),""))</f>
        <v/>
      </c>
      <c r="AH102" s="21">
        <f>IF(AE102="","",LOWER(IFERROR(TRIM(INDEX($A102:$X102,MATCH(Lists!$F$5,$A$1:$X$1,0))&amp;""),"")))</f>
        <v/>
      </c>
      <c r="AI102" s="21">
        <f>IF(AE102="","",IFERROR(TRIM(INDEX($A102:$X102,MATCH(Lists!$F$6,$A$1:$X$1,0))&amp;""),""))</f>
        <v/>
      </c>
      <c r="AJ102" s="21">
        <f>IF(AE102="","",IF(LEFT(IFERROR(TRIM(INDEX($A102:$X102,MATCH(Lists!$F$7,$A$1:$X$1,0))&amp;""),""),3)="Yes","Yes","No"))</f>
        <v/>
      </c>
      <c r="AK102" s="21">
        <f>IF(AE102="","",IFERROR(TRIM(INDEX($A102:$X102,MATCH(Lists!$F$8,$A$1:$X$1,0))&amp;""),""))</f>
        <v/>
      </c>
      <c r="AL102" s="21">
        <f>IF(AE102="","",IFERROR(IF(TRIM(INDEX($A102:$X102,MATCH(Lists!$F$9,$A$1:$X$1,0))&amp;"")="","",VALUE(TRIM(INDEX($A102:$X102,MATCH(Lists!$F$9,$A$1:$X$1,0))&amp;""))),""))</f>
        <v/>
      </c>
      <c r="AM102" s="21">
        <f>IF(AE102="","",IFERROR(TRIM(INDEX($A102:$X102,MATCH(Lists!$F$10,$A$1:$X$1,0))&amp;""),""))</f>
        <v/>
      </c>
      <c r="AN102" s="21">
        <f>IF(AE102="","",IF(OR(AM102="Paid",AM102="Partially refunded"),"Paid",IF(Z102="Yes","Paid (by hand)",IF(AM102&lt;&gt;"",AM102,"Unpaid"))))</f>
        <v/>
      </c>
      <c r="AO102" s="21">
        <f>IF(AD102=1,COUNTIFS($AE$2:$AE$301,"&lt;"&amp;AE102,$AD$2:$AD$301,1)+COUNTIF($AE$2:AE102,AE102),"")</f>
        <v/>
      </c>
    </row>
    <row r="103">
      <c r="Y103" s="19" t="n"/>
      <c r="Z103" s="22" t="n"/>
      <c r="AA103" s="22" t="n"/>
      <c r="AB103" s="22" t="n"/>
      <c r="AC103" s="19" t="n"/>
      <c r="AD103" s="21">
        <f>IF(AE103="",0,1)</f>
        <v/>
      </c>
      <c r="AE103" s="21">
        <f>IFERROR(TRIM(INDEX($A103:$X103,MATCH(Lists!$F$2,$A$1:$X$1,0))&amp;""),"")</f>
        <v/>
      </c>
      <c r="AF103" s="21">
        <f>IF(AE103="","",IFERROR(TRIM(INDEX($A103:$X103,MATCH(Lists!$F$3,$A$1:$X$1,0))&amp;""),""))</f>
        <v/>
      </c>
      <c r="AG103" s="21">
        <f>IF(AE103="","",IFERROR(TRIM(INDEX($A103:$X103,MATCH(Lists!$F$4,$A$1:$X$1,0))&amp;""),""))</f>
        <v/>
      </c>
      <c r="AH103" s="21">
        <f>IF(AE103="","",LOWER(IFERROR(TRIM(INDEX($A103:$X103,MATCH(Lists!$F$5,$A$1:$X$1,0))&amp;""),"")))</f>
        <v/>
      </c>
      <c r="AI103" s="21">
        <f>IF(AE103="","",IFERROR(TRIM(INDEX($A103:$X103,MATCH(Lists!$F$6,$A$1:$X$1,0))&amp;""),""))</f>
        <v/>
      </c>
      <c r="AJ103" s="21">
        <f>IF(AE103="","",IF(LEFT(IFERROR(TRIM(INDEX($A103:$X103,MATCH(Lists!$F$7,$A$1:$X$1,0))&amp;""),""),3)="Yes","Yes","No"))</f>
        <v/>
      </c>
      <c r="AK103" s="21">
        <f>IF(AE103="","",IFERROR(TRIM(INDEX($A103:$X103,MATCH(Lists!$F$8,$A$1:$X$1,0))&amp;""),""))</f>
        <v/>
      </c>
      <c r="AL103" s="21">
        <f>IF(AE103="","",IFERROR(IF(TRIM(INDEX($A103:$X103,MATCH(Lists!$F$9,$A$1:$X$1,0))&amp;"")="","",VALUE(TRIM(INDEX($A103:$X103,MATCH(Lists!$F$9,$A$1:$X$1,0))&amp;""))),""))</f>
        <v/>
      </c>
      <c r="AM103" s="21">
        <f>IF(AE103="","",IFERROR(TRIM(INDEX($A103:$X103,MATCH(Lists!$F$10,$A$1:$X$1,0))&amp;""),""))</f>
        <v/>
      </c>
      <c r="AN103" s="21">
        <f>IF(AE103="","",IF(OR(AM103="Paid",AM103="Partially refunded"),"Paid",IF(Z103="Yes","Paid (by hand)",IF(AM103&lt;&gt;"",AM103,"Unpaid"))))</f>
        <v/>
      </c>
      <c r="AO103" s="21">
        <f>IF(AD103=1,COUNTIFS($AE$2:$AE$301,"&lt;"&amp;AE103,$AD$2:$AD$301,1)+COUNTIF($AE$2:AE103,AE103),"")</f>
        <v/>
      </c>
    </row>
    <row r="104">
      <c r="Y104" s="19" t="n"/>
      <c r="Z104" s="22" t="n"/>
      <c r="AA104" s="22" t="n"/>
      <c r="AB104" s="22" t="n"/>
      <c r="AC104" s="19" t="n"/>
      <c r="AD104" s="21">
        <f>IF(AE104="",0,1)</f>
        <v/>
      </c>
      <c r="AE104" s="21">
        <f>IFERROR(TRIM(INDEX($A104:$X104,MATCH(Lists!$F$2,$A$1:$X$1,0))&amp;""),"")</f>
        <v/>
      </c>
      <c r="AF104" s="21">
        <f>IF(AE104="","",IFERROR(TRIM(INDEX($A104:$X104,MATCH(Lists!$F$3,$A$1:$X$1,0))&amp;""),""))</f>
        <v/>
      </c>
      <c r="AG104" s="21">
        <f>IF(AE104="","",IFERROR(TRIM(INDEX($A104:$X104,MATCH(Lists!$F$4,$A$1:$X$1,0))&amp;""),""))</f>
        <v/>
      </c>
      <c r="AH104" s="21">
        <f>IF(AE104="","",LOWER(IFERROR(TRIM(INDEX($A104:$X104,MATCH(Lists!$F$5,$A$1:$X$1,0))&amp;""),"")))</f>
        <v/>
      </c>
      <c r="AI104" s="21">
        <f>IF(AE104="","",IFERROR(TRIM(INDEX($A104:$X104,MATCH(Lists!$F$6,$A$1:$X$1,0))&amp;""),""))</f>
        <v/>
      </c>
      <c r="AJ104" s="21">
        <f>IF(AE104="","",IF(LEFT(IFERROR(TRIM(INDEX($A104:$X104,MATCH(Lists!$F$7,$A$1:$X$1,0))&amp;""),""),3)="Yes","Yes","No"))</f>
        <v/>
      </c>
      <c r="AK104" s="21">
        <f>IF(AE104="","",IFERROR(TRIM(INDEX($A104:$X104,MATCH(Lists!$F$8,$A$1:$X$1,0))&amp;""),""))</f>
        <v/>
      </c>
      <c r="AL104" s="21">
        <f>IF(AE104="","",IFERROR(IF(TRIM(INDEX($A104:$X104,MATCH(Lists!$F$9,$A$1:$X$1,0))&amp;"")="","",VALUE(TRIM(INDEX($A104:$X104,MATCH(Lists!$F$9,$A$1:$X$1,0))&amp;""))),""))</f>
        <v/>
      </c>
      <c r="AM104" s="21">
        <f>IF(AE104="","",IFERROR(TRIM(INDEX($A104:$X104,MATCH(Lists!$F$10,$A$1:$X$1,0))&amp;""),""))</f>
        <v/>
      </c>
      <c r="AN104" s="21">
        <f>IF(AE104="","",IF(OR(AM104="Paid",AM104="Partially refunded"),"Paid",IF(Z104="Yes","Paid (by hand)",IF(AM104&lt;&gt;"",AM104,"Unpaid"))))</f>
        <v/>
      </c>
      <c r="AO104" s="21">
        <f>IF(AD104=1,COUNTIFS($AE$2:$AE$301,"&lt;"&amp;AE104,$AD$2:$AD$301,1)+COUNTIF($AE$2:AE104,AE104),"")</f>
        <v/>
      </c>
    </row>
    <row r="105">
      <c r="Y105" s="19" t="n"/>
      <c r="Z105" s="22" t="n"/>
      <c r="AA105" s="22" t="n"/>
      <c r="AB105" s="22" t="n"/>
      <c r="AC105" s="19" t="n"/>
      <c r="AD105" s="21">
        <f>IF(AE105="",0,1)</f>
        <v/>
      </c>
      <c r="AE105" s="21">
        <f>IFERROR(TRIM(INDEX($A105:$X105,MATCH(Lists!$F$2,$A$1:$X$1,0))&amp;""),"")</f>
        <v/>
      </c>
      <c r="AF105" s="21">
        <f>IF(AE105="","",IFERROR(TRIM(INDEX($A105:$X105,MATCH(Lists!$F$3,$A$1:$X$1,0))&amp;""),""))</f>
        <v/>
      </c>
      <c r="AG105" s="21">
        <f>IF(AE105="","",IFERROR(TRIM(INDEX($A105:$X105,MATCH(Lists!$F$4,$A$1:$X$1,0))&amp;""),""))</f>
        <v/>
      </c>
      <c r="AH105" s="21">
        <f>IF(AE105="","",LOWER(IFERROR(TRIM(INDEX($A105:$X105,MATCH(Lists!$F$5,$A$1:$X$1,0))&amp;""),"")))</f>
        <v/>
      </c>
      <c r="AI105" s="21">
        <f>IF(AE105="","",IFERROR(TRIM(INDEX($A105:$X105,MATCH(Lists!$F$6,$A$1:$X$1,0))&amp;""),""))</f>
        <v/>
      </c>
      <c r="AJ105" s="21">
        <f>IF(AE105="","",IF(LEFT(IFERROR(TRIM(INDEX($A105:$X105,MATCH(Lists!$F$7,$A$1:$X$1,0))&amp;""),""),3)="Yes","Yes","No"))</f>
        <v/>
      </c>
      <c r="AK105" s="21">
        <f>IF(AE105="","",IFERROR(TRIM(INDEX($A105:$X105,MATCH(Lists!$F$8,$A$1:$X$1,0))&amp;""),""))</f>
        <v/>
      </c>
      <c r="AL105" s="21">
        <f>IF(AE105="","",IFERROR(IF(TRIM(INDEX($A105:$X105,MATCH(Lists!$F$9,$A$1:$X$1,0))&amp;"")="","",VALUE(TRIM(INDEX($A105:$X105,MATCH(Lists!$F$9,$A$1:$X$1,0))&amp;""))),""))</f>
        <v/>
      </c>
      <c r="AM105" s="21">
        <f>IF(AE105="","",IFERROR(TRIM(INDEX($A105:$X105,MATCH(Lists!$F$10,$A$1:$X$1,0))&amp;""),""))</f>
        <v/>
      </c>
      <c r="AN105" s="21">
        <f>IF(AE105="","",IF(OR(AM105="Paid",AM105="Partially refunded"),"Paid",IF(Z105="Yes","Paid (by hand)",IF(AM105&lt;&gt;"",AM105,"Unpaid"))))</f>
        <v/>
      </c>
      <c r="AO105" s="21">
        <f>IF(AD105=1,COUNTIFS($AE$2:$AE$301,"&lt;"&amp;AE105,$AD$2:$AD$301,1)+COUNTIF($AE$2:AE105,AE105),"")</f>
        <v/>
      </c>
    </row>
    <row r="106">
      <c r="Y106" s="19" t="n"/>
      <c r="Z106" s="22" t="n"/>
      <c r="AA106" s="22" t="n"/>
      <c r="AB106" s="22" t="n"/>
      <c r="AC106" s="19" t="n"/>
      <c r="AD106" s="21">
        <f>IF(AE106="",0,1)</f>
        <v/>
      </c>
      <c r="AE106" s="21">
        <f>IFERROR(TRIM(INDEX($A106:$X106,MATCH(Lists!$F$2,$A$1:$X$1,0))&amp;""),"")</f>
        <v/>
      </c>
      <c r="AF106" s="21">
        <f>IF(AE106="","",IFERROR(TRIM(INDEX($A106:$X106,MATCH(Lists!$F$3,$A$1:$X$1,0))&amp;""),""))</f>
        <v/>
      </c>
      <c r="AG106" s="21">
        <f>IF(AE106="","",IFERROR(TRIM(INDEX($A106:$X106,MATCH(Lists!$F$4,$A$1:$X$1,0))&amp;""),""))</f>
        <v/>
      </c>
      <c r="AH106" s="21">
        <f>IF(AE106="","",LOWER(IFERROR(TRIM(INDEX($A106:$X106,MATCH(Lists!$F$5,$A$1:$X$1,0))&amp;""),"")))</f>
        <v/>
      </c>
      <c r="AI106" s="21">
        <f>IF(AE106="","",IFERROR(TRIM(INDEX($A106:$X106,MATCH(Lists!$F$6,$A$1:$X$1,0))&amp;""),""))</f>
        <v/>
      </c>
      <c r="AJ106" s="21">
        <f>IF(AE106="","",IF(LEFT(IFERROR(TRIM(INDEX($A106:$X106,MATCH(Lists!$F$7,$A$1:$X$1,0))&amp;""),""),3)="Yes","Yes","No"))</f>
        <v/>
      </c>
      <c r="AK106" s="21">
        <f>IF(AE106="","",IFERROR(TRIM(INDEX($A106:$X106,MATCH(Lists!$F$8,$A$1:$X$1,0))&amp;""),""))</f>
        <v/>
      </c>
      <c r="AL106" s="21">
        <f>IF(AE106="","",IFERROR(IF(TRIM(INDEX($A106:$X106,MATCH(Lists!$F$9,$A$1:$X$1,0))&amp;"")="","",VALUE(TRIM(INDEX($A106:$X106,MATCH(Lists!$F$9,$A$1:$X$1,0))&amp;""))),""))</f>
        <v/>
      </c>
      <c r="AM106" s="21">
        <f>IF(AE106="","",IFERROR(TRIM(INDEX($A106:$X106,MATCH(Lists!$F$10,$A$1:$X$1,0))&amp;""),""))</f>
        <v/>
      </c>
      <c r="AN106" s="21">
        <f>IF(AE106="","",IF(OR(AM106="Paid",AM106="Partially refunded"),"Paid",IF(Z106="Yes","Paid (by hand)",IF(AM106&lt;&gt;"",AM106,"Unpaid"))))</f>
        <v/>
      </c>
      <c r="AO106" s="21">
        <f>IF(AD106=1,COUNTIFS($AE$2:$AE$301,"&lt;"&amp;AE106,$AD$2:$AD$301,1)+COUNTIF($AE$2:AE106,AE106),"")</f>
        <v/>
      </c>
    </row>
    <row r="107">
      <c r="Y107" s="19" t="n"/>
      <c r="Z107" s="22" t="n"/>
      <c r="AA107" s="22" t="n"/>
      <c r="AB107" s="22" t="n"/>
      <c r="AC107" s="19" t="n"/>
      <c r="AD107" s="21">
        <f>IF(AE107="",0,1)</f>
        <v/>
      </c>
      <c r="AE107" s="21">
        <f>IFERROR(TRIM(INDEX($A107:$X107,MATCH(Lists!$F$2,$A$1:$X$1,0))&amp;""),"")</f>
        <v/>
      </c>
      <c r="AF107" s="21">
        <f>IF(AE107="","",IFERROR(TRIM(INDEX($A107:$X107,MATCH(Lists!$F$3,$A$1:$X$1,0))&amp;""),""))</f>
        <v/>
      </c>
      <c r="AG107" s="21">
        <f>IF(AE107="","",IFERROR(TRIM(INDEX($A107:$X107,MATCH(Lists!$F$4,$A$1:$X$1,0))&amp;""),""))</f>
        <v/>
      </c>
      <c r="AH107" s="21">
        <f>IF(AE107="","",LOWER(IFERROR(TRIM(INDEX($A107:$X107,MATCH(Lists!$F$5,$A$1:$X$1,0))&amp;""),"")))</f>
        <v/>
      </c>
      <c r="AI107" s="21">
        <f>IF(AE107="","",IFERROR(TRIM(INDEX($A107:$X107,MATCH(Lists!$F$6,$A$1:$X$1,0))&amp;""),""))</f>
        <v/>
      </c>
      <c r="AJ107" s="21">
        <f>IF(AE107="","",IF(LEFT(IFERROR(TRIM(INDEX($A107:$X107,MATCH(Lists!$F$7,$A$1:$X$1,0))&amp;""),""),3)="Yes","Yes","No"))</f>
        <v/>
      </c>
      <c r="AK107" s="21">
        <f>IF(AE107="","",IFERROR(TRIM(INDEX($A107:$X107,MATCH(Lists!$F$8,$A$1:$X$1,0))&amp;""),""))</f>
        <v/>
      </c>
      <c r="AL107" s="21">
        <f>IF(AE107="","",IFERROR(IF(TRIM(INDEX($A107:$X107,MATCH(Lists!$F$9,$A$1:$X$1,0))&amp;"")="","",VALUE(TRIM(INDEX($A107:$X107,MATCH(Lists!$F$9,$A$1:$X$1,0))&amp;""))),""))</f>
        <v/>
      </c>
      <c r="AM107" s="21">
        <f>IF(AE107="","",IFERROR(TRIM(INDEX($A107:$X107,MATCH(Lists!$F$10,$A$1:$X$1,0))&amp;""),""))</f>
        <v/>
      </c>
      <c r="AN107" s="21">
        <f>IF(AE107="","",IF(OR(AM107="Paid",AM107="Partially refunded"),"Paid",IF(Z107="Yes","Paid (by hand)",IF(AM107&lt;&gt;"",AM107,"Unpaid"))))</f>
        <v/>
      </c>
      <c r="AO107" s="21">
        <f>IF(AD107=1,COUNTIFS($AE$2:$AE$301,"&lt;"&amp;AE107,$AD$2:$AD$301,1)+COUNTIF($AE$2:AE107,AE107),"")</f>
        <v/>
      </c>
    </row>
    <row r="108">
      <c r="Y108" s="19" t="n"/>
      <c r="Z108" s="22" t="n"/>
      <c r="AA108" s="22" t="n"/>
      <c r="AB108" s="22" t="n"/>
      <c r="AC108" s="19" t="n"/>
      <c r="AD108" s="21">
        <f>IF(AE108="",0,1)</f>
        <v/>
      </c>
      <c r="AE108" s="21">
        <f>IFERROR(TRIM(INDEX($A108:$X108,MATCH(Lists!$F$2,$A$1:$X$1,0))&amp;""),"")</f>
        <v/>
      </c>
      <c r="AF108" s="21">
        <f>IF(AE108="","",IFERROR(TRIM(INDEX($A108:$X108,MATCH(Lists!$F$3,$A$1:$X$1,0))&amp;""),""))</f>
        <v/>
      </c>
      <c r="AG108" s="21">
        <f>IF(AE108="","",IFERROR(TRIM(INDEX($A108:$X108,MATCH(Lists!$F$4,$A$1:$X$1,0))&amp;""),""))</f>
        <v/>
      </c>
      <c r="AH108" s="21">
        <f>IF(AE108="","",LOWER(IFERROR(TRIM(INDEX($A108:$X108,MATCH(Lists!$F$5,$A$1:$X$1,0))&amp;""),"")))</f>
        <v/>
      </c>
      <c r="AI108" s="21">
        <f>IF(AE108="","",IFERROR(TRIM(INDEX($A108:$X108,MATCH(Lists!$F$6,$A$1:$X$1,0))&amp;""),""))</f>
        <v/>
      </c>
      <c r="AJ108" s="21">
        <f>IF(AE108="","",IF(LEFT(IFERROR(TRIM(INDEX($A108:$X108,MATCH(Lists!$F$7,$A$1:$X$1,0))&amp;""),""),3)="Yes","Yes","No"))</f>
        <v/>
      </c>
      <c r="AK108" s="21">
        <f>IF(AE108="","",IFERROR(TRIM(INDEX($A108:$X108,MATCH(Lists!$F$8,$A$1:$X$1,0))&amp;""),""))</f>
        <v/>
      </c>
      <c r="AL108" s="21">
        <f>IF(AE108="","",IFERROR(IF(TRIM(INDEX($A108:$X108,MATCH(Lists!$F$9,$A$1:$X$1,0))&amp;"")="","",VALUE(TRIM(INDEX($A108:$X108,MATCH(Lists!$F$9,$A$1:$X$1,0))&amp;""))),""))</f>
        <v/>
      </c>
      <c r="AM108" s="21">
        <f>IF(AE108="","",IFERROR(TRIM(INDEX($A108:$X108,MATCH(Lists!$F$10,$A$1:$X$1,0))&amp;""),""))</f>
        <v/>
      </c>
      <c r="AN108" s="21">
        <f>IF(AE108="","",IF(OR(AM108="Paid",AM108="Partially refunded"),"Paid",IF(Z108="Yes","Paid (by hand)",IF(AM108&lt;&gt;"",AM108,"Unpaid"))))</f>
        <v/>
      </c>
      <c r="AO108" s="21">
        <f>IF(AD108=1,COUNTIFS($AE$2:$AE$301,"&lt;"&amp;AE108,$AD$2:$AD$301,1)+COUNTIF($AE$2:AE108,AE108),"")</f>
        <v/>
      </c>
    </row>
    <row r="109">
      <c r="Y109" s="19" t="n"/>
      <c r="Z109" s="22" t="n"/>
      <c r="AA109" s="22" t="n"/>
      <c r="AB109" s="22" t="n"/>
      <c r="AC109" s="19" t="n"/>
      <c r="AD109" s="21">
        <f>IF(AE109="",0,1)</f>
        <v/>
      </c>
      <c r="AE109" s="21">
        <f>IFERROR(TRIM(INDEX($A109:$X109,MATCH(Lists!$F$2,$A$1:$X$1,0))&amp;""),"")</f>
        <v/>
      </c>
      <c r="AF109" s="21">
        <f>IF(AE109="","",IFERROR(TRIM(INDEX($A109:$X109,MATCH(Lists!$F$3,$A$1:$X$1,0))&amp;""),""))</f>
        <v/>
      </c>
      <c r="AG109" s="21">
        <f>IF(AE109="","",IFERROR(TRIM(INDEX($A109:$X109,MATCH(Lists!$F$4,$A$1:$X$1,0))&amp;""),""))</f>
        <v/>
      </c>
      <c r="AH109" s="21">
        <f>IF(AE109="","",LOWER(IFERROR(TRIM(INDEX($A109:$X109,MATCH(Lists!$F$5,$A$1:$X$1,0))&amp;""),"")))</f>
        <v/>
      </c>
      <c r="AI109" s="21">
        <f>IF(AE109="","",IFERROR(TRIM(INDEX($A109:$X109,MATCH(Lists!$F$6,$A$1:$X$1,0))&amp;""),""))</f>
        <v/>
      </c>
      <c r="AJ109" s="21">
        <f>IF(AE109="","",IF(LEFT(IFERROR(TRIM(INDEX($A109:$X109,MATCH(Lists!$F$7,$A$1:$X$1,0))&amp;""),""),3)="Yes","Yes","No"))</f>
        <v/>
      </c>
      <c r="AK109" s="21">
        <f>IF(AE109="","",IFERROR(TRIM(INDEX($A109:$X109,MATCH(Lists!$F$8,$A$1:$X$1,0))&amp;""),""))</f>
        <v/>
      </c>
      <c r="AL109" s="21">
        <f>IF(AE109="","",IFERROR(IF(TRIM(INDEX($A109:$X109,MATCH(Lists!$F$9,$A$1:$X$1,0))&amp;"")="","",VALUE(TRIM(INDEX($A109:$X109,MATCH(Lists!$F$9,$A$1:$X$1,0))&amp;""))),""))</f>
        <v/>
      </c>
      <c r="AM109" s="21">
        <f>IF(AE109="","",IFERROR(TRIM(INDEX($A109:$X109,MATCH(Lists!$F$10,$A$1:$X$1,0))&amp;""),""))</f>
        <v/>
      </c>
      <c r="AN109" s="21">
        <f>IF(AE109="","",IF(OR(AM109="Paid",AM109="Partially refunded"),"Paid",IF(Z109="Yes","Paid (by hand)",IF(AM109&lt;&gt;"",AM109,"Unpaid"))))</f>
        <v/>
      </c>
      <c r="AO109" s="21">
        <f>IF(AD109=1,COUNTIFS($AE$2:$AE$301,"&lt;"&amp;AE109,$AD$2:$AD$301,1)+COUNTIF($AE$2:AE109,AE109),"")</f>
        <v/>
      </c>
    </row>
    <row r="110">
      <c r="Y110" s="19" t="n"/>
      <c r="Z110" s="22" t="n"/>
      <c r="AA110" s="22" t="n"/>
      <c r="AB110" s="22" t="n"/>
      <c r="AC110" s="19" t="n"/>
      <c r="AD110" s="21">
        <f>IF(AE110="",0,1)</f>
        <v/>
      </c>
      <c r="AE110" s="21">
        <f>IFERROR(TRIM(INDEX($A110:$X110,MATCH(Lists!$F$2,$A$1:$X$1,0))&amp;""),"")</f>
        <v/>
      </c>
      <c r="AF110" s="21">
        <f>IF(AE110="","",IFERROR(TRIM(INDEX($A110:$X110,MATCH(Lists!$F$3,$A$1:$X$1,0))&amp;""),""))</f>
        <v/>
      </c>
      <c r="AG110" s="21">
        <f>IF(AE110="","",IFERROR(TRIM(INDEX($A110:$X110,MATCH(Lists!$F$4,$A$1:$X$1,0))&amp;""),""))</f>
        <v/>
      </c>
      <c r="AH110" s="21">
        <f>IF(AE110="","",LOWER(IFERROR(TRIM(INDEX($A110:$X110,MATCH(Lists!$F$5,$A$1:$X$1,0))&amp;""),"")))</f>
        <v/>
      </c>
      <c r="AI110" s="21">
        <f>IF(AE110="","",IFERROR(TRIM(INDEX($A110:$X110,MATCH(Lists!$F$6,$A$1:$X$1,0))&amp;""),""))</f>
        <v/>
      </c>
      <c r="AJ110" s="21">
        <f>IF(AE110="","",IF(LEFT(IFERROR(TRIM(INDEX($A110:$X110,MATCH(Lists!$F$7,$A$1:$X$1,0))&amp;""),""),3)="Yes","Yes","No"))</f>
        <v/>
      </c>
      <c r="AK110" s="21">
        <f>IF(AE110="","",IFERROR(TRIM(INDEX($A110:$X110,MATCH(Lists!$F$8,$A$1:$X$1,0))&amp;""),""))</f>
        <v/>
      </c>
      <c r="AL110" s="21">
        <f>IF(AE110="","",IFERROR(IF(TRIM(INDEX($A110:$X110,MATCH(Lists!$F$9,$A$1:$X$1,0))&amp;"")="","",VALUE(TRIM(INDEX($A110:$X110,MATCH(Lists!$F$9,$A$1:$X$1,0))&amp;""))),""))</f>
        <v/>
      </c>
      <c r="AM110" s="21">
        <f>IF(AE110="","",IFERROR(TRIM(INDEX($A110:$X110,MATCH(Lists!$F$10,$A$1:$X$1,0))&amp;""),""))</f>
        <v/>
      </c>
      <c r="AN110" s="21">
        <f>IF(AE110="","",IF(OR(AM110="Paid",AM110="Partially refunded"),"Paid",IF(Z110="Yes","Paid (by hand)",IF(AM110&lt;&gt;"",AM110,"Unpaid"))))</f>
        <v/>
      </c>
      <c r="AO110" s="21">
        <f>IF(AD110=1,COUNTIFS($AE$2:$AE$301,"&lt;"&amp;AE110,$AD$2:$AD$301,1)+COUNTIF($AE$2:AE110,AE110),"")</f>
        <v/>
      </c>
    </row>
    <row r="111">
      <c r="Y111" s="19" t="n"/>
      <c r="Z111" s="22" t="n"/>
      <c r="AA111" s="22" t="n"/>
      <c r="AB111" s="22" t="n"/>
      <c r="AC111" s="19" t="n"/>
      <c r="AD111" s="21">
        <f>IF(AE111="",0,1)</f>
        <v/>
      </c>
      <c r="AE111" s="21">
        <f>IFERROR(TRIM(INDEX($A111:$X111,MATCH(Lists!$F$2,$A$1:$X$1,0))&amp;""),"")</f>
        <v/>
      </c>
      <c r="AF111" s="21">
        <f>IF(AE111="","",IFERROR(TRIM(INDEX($A111:$X111,MATCH(Lists!$F$3,$A$1:$X$1,0))&amp;""),""))</f>
        <v/>
      </c>
      <c r="AG111" s="21">
        <f>IF(AE111="","",IFERROR(TRIM(INDEX($A111:$X111,MATCH(Lists!$F$4,$A$1:$X$1,0))&amp;""),""))</f>
        <v/>
      </c>
      <c r="AH111" s="21">
        <f>IF(AE111="","",LOWER(IFERROR(TRIM(INDEX($A111:$X111,MATCH(Lists!$F$5,$A$1:$X$1,0))&amp;""),"")))</f>
        <v/>
      </c>
      <c r="AI111" s="21">
        <f>IF(AE111="","",IFERROR(TRIM(INDEX($A111:$X111,MATCH(Lists!$F$6,$A$1:$X$1,0))&amp;""),""))</f>
        <v/>
      </c>
      <c r="AJ111" s="21">
        <f>IF(AE111="","",IF(LEFT(IFERROR(TRIM(INDEX($A111:$X111,MATCH(Lists!$F$7,$A$1:$X$1,0))&amp;""),""),3)="Yes","Yes","No"))</f>
        <v/>
      </c>
      <c r="AK111" s="21">
        <f>IF(AE111="","",IFERROR(TRIM(INDEX($A111:$X111,MATCH(Lists!$F$8,$A$1:$X$1,0))&amp;""),""))</f>
        <v/>
      </c>
      <c r="AL111" s="21">
        <f>IF(AE111="","",IFERROR(IF(TRIM(INDEX($A111:$X111,MATCH(Lists!$F$9,$A$1:$X$1,0))&amp;"")="","",VALUE(TRIM(INDEX($A111:$X111,MATCH(Lists!$F$9,$A$1:$X$1,0))&amp;""))),""))</f>
        <v/>
      </c>
      <c r="AM111" s="21">
        <f>IF(AE111="","",IFERROR(TRIM(INDEX($A111:$X111,MATCH(Lists!$F$10,$A$1:$X$1,0))&amp;""),""))</f>
        <v/>
      </c>
      <c r="AN111" s="21">
        <f>IF(AE111="","",IF(OR(AM111="Paid",AM111="Partially refunded"),"Paid",IF(Z111="Yes","Paid (by hand)",IF(AM111&lt;&gt;"",AM111,"Unpaid"))))</f>
        <v/>
      </c>
      <c r="AO111" s="21">
        <f>IF(AD111=1,COUNTIFS($AE$2:$AE$301,"&lt;"&amp;AE111,$AD$2:$AD$301,1)+COUNTIF($AE$2:AE111,AE111),"")</f>
        <v/>
      </c>
    </row>
    <row r="112">
      <c r="Y112" s="19" t="n"/>
      <c r="Z112" s="22" t="n"/>
      <c r="AA112" s="22" t="n"/>
      <c r="AB112" s="22" t="n"/>
      <c r="AC112" s="19" t="n"/>
      <c r="AD112" s="21">
        <f>IF(AE112="",0,1)</f>
        <v/>
      </c>
      <c r="AE112" s="21">
        <f>IFERROR(TRIM(INDEX($A112:$X112,MATCH(Lists!$F$2,$A$1:$X$1,0))&amp;""),"")</f>
        <v/>
      </c>
      <c r="AF112" s="21">
        <f>IF(AE112="","",IFERROR(TRIM(INDEX($A112:$X112,MATCH(Lists!$F$3,$A$1:$X$1,0))&amp;""),""))</f>
        <v/>
      </c>
      <c r="AG112" s="21">
        <f>IF(AE112="","",IFERROR(TRIM(INDEX($A112:$X112,MATCH(Lists!$F$4,$A$1:$X$1,0))&amp;""),""))</f>
        <v/>
      </c>
      <c r="AH112" s="21">
        <f>IF(AE112="","",LOWER(IFERROR(TRIM(INDEX($A112:$X112,MATCH(Lists!$F$5,$A$1:$X$1,0))&amp;""),"")))</f>
        <v/>
      </c>
      <c r="AI112" s="21">
        <f>IF(AE112="","",IFERROR(TRIM(INDEX($A112:$X112,MATCH(Lists!$F$6,$A$1:$X$1,0))&amp;""),""))</f>
        <v/>
      </c>
      <c r="AJ112" s="21">
        <f>IF(AE112="","",IF(LEFT(IFERROR(TRIM(INDEX($A112:$X112,MATCH(Lists!$F$7,$A$1:$X$1,0))&amp;""),""),3)="Yes","Yes","No"))</f>
        <v/>
      </c>
      <c r="AK112" s="21">
        <f>IF(AE112="","",IFERROR(TRIM(INDEX($A112:$X112,MATCH(Lists!$F$8,$A$1:$X$1,0))&amp;""),""))</f>
        <v/>
      </c>
      <c r="AL112" s="21">
        <f>IF(AE112="","",IFERROR(IF(TRIM(INDEX($A112:$X112,MATCH(Lists!$F$9,$A$1:$X$1,0))&amp;"")="","",VALUE(TRIM(INDEX($A112:$X112,MATCH(Lists!$F$9,$A$1:$X$1,0))&amp;""))),""))</f>
        <v/>
      </c>
      <c r="AM112" s="21">
        <f>IF(AE112="","",IFERROR(TRIM(INDEX($A112:$X112,MATCH(Lists!$F$10,$A$1:$X$1,0))&amp;""),""))</f>
        <v/>
      </c>
      <c r="AN112" s="21">
        <f>IF(AE112="","",IF(OR(AM112="Paid",AM112="Partially refunded"),"Paid",IF(Z112="Yes","Paid (by hand)",IF(AM112&lt;&gt;"",AM112,"Unpaid"))))</f>
        <v/>
      </c>
      <c r="AO112" s="21">
        <f>IF(AD112=1,COUNTIFS($AE$2:$AE$301,"&lt;"&amp;AE112,$AD$2:$AD$301,1)+COUNTIF($AE$2:AE112,AE112),"")</f>
        <v/>
      </c>
    </row>
    <row r="113">
      <c r="Y113" s="19" t="n"/>
      <c r="Z113" s="22" t="n"/>
      <c r="AA113" s="22" t="n"/>
      <c r="AB113" s="22" t="n"/>
      <c r="AC113" s="19" t="n"/>
      <c r="AD113" s="21">
        <f>IF(AE113="",0,1)</f>
        <v/>
      </c>
      <c r="AE113" s="21">
        <f>IFERROR(TRIM(INDEX($A113:$X113,MATCH(Lists!$F$2,$A$1:$X$1,0))&amp;""),"")</f>
        <v/>
      </c>
      <c r="AF113" s="21">
        <f>IF(AE113="","",IFERROR(TRIM(INDEX($A113:$X113,MATCH(Lists!$F$3,$A$1:$X$1,0))&amp;""),""))</f>
        <v/>
      </c>
      <c r="AG113" s="21">
        <f>IF(AE113="","",IFERROR(TRIM(INDEX($A113:$X113,MATCH(Lists!$F$4,$A$1:$X$1,0))&amp;""),""))</f>
        <v/>
      </c>
      <c r="AH113" s="21">
        <f>IF(AE113="","",LOWER(IFERROR(TRIM(INDEX($A113:$X113,MATCH(Lists!$F$5,$A$1:$X$1,0))&amp;""),"")))</f>
        <v/>
      </c>
      <c r="AI113" s="21">
        <f>IF(AE113="","",IFERROR(TRIM(INDEX($A113:$X113,MATCH(Lists!$F$6,$A$1:$X$1,0))&amp;""),""))</f>
        <v/>
      </c>
      <c r="AJ113" s="21">
        <f>IF(AE113="","",IF(LEFT(IFERROR(TRIM(INDEX($A113:$X113,MATCH(Lists!$F$7,$A$1:$X$1,0))&amp;""),""),3)="Yes","Yes","No"))</f>
        <v/>
      </c>
      <c r="AK113" s="21">
        <f>IF(AE113="","",IFERROR(TRIM(INDEX($A113:$X113,MATCH(Lists!$F$8,$A$1:$X$1,0))&amp;""),""))</f>
        <v/>
      </c>
      <c r="AL113" s="21">
        <f>IF(AE113="","",IFERROR(IF(TRIM(INDEX($A113:$X113,MATCH(Lists!$F$9,$A$1:$X$1,0))&amp;"")="","",VALUE(TRIM(INDEX($A113:$X113,MATCH(Lists!$F$9,$A$1:$X$1,0))&amp;""))),""))</f>
        <v/>
      </c>
      <c r="AM113" s="21">
        <f>IF(AE113="","",IFERROR(TRIM(INDEX($A113:$X113,MATCH(Lists!$F$10,$A$1:$X$1,0))&amp;""),""))</f>
        <v/>
      </c>
      <c r="AN113" s="21">
        <f>IF(AE113="","",IF(OR(AM113="Paid",AM113="Partially refunded"),"Paid",IF(Z113="Yes","Paid (by hand)",IF(AM113&lt;&gt;"",AM113,"Unpaid"))))</f>
        <v/>
      </c>
      <c r="AO113" s="21">
        <f>IF(AD113=1,COUNTIFS($AE$2:$AE$301,"&lt;"&amp;AE113,$AD$2:$AD$301,1)+COUNTIF($AE$2:AE113,AE113),"")</f>
        <v/>
      </c>
    </row>
    <row r="114">
      <c r="Y114" s="19" t="n"/>
      <c r="Z114" s="22" t="n"/>
      <c r="AA114" s="22" t="n"/>
      <c r="AB114" s="22" t="n"/>
      <c r="AC114" s="19" t="n"/>
      <c r="AD114" s="21">
        <f>IF(AE114="",0,1)</f>
        <v/>
      </c>
      <c r="AE114" s="21">
        <f>IFERROR(TRIM(INDEX($A114:$X114,MATCH(Lists!$F$2,$A$1:$X$1,0))&amp;""),"")</f>
        <v/>
      </c>
      <c r="AF114" s="21">
        <f>IF(AE114="","",IFERROR(TRIM(INDEX($A114:$X114,MATCH(Lists!$F$3,$A$1:$X$1,0))&amp;""),""))</f>
        <v/>
      </c>
      <c r="AG114" s="21">
        <f>IF(AE114="","",IFERROR(TRIM(INDEX($A114:$X114,MATCH(Lists!$F$4,$A$1:$X$1,0))&amp;""),""))</f>
        <v/>
      </c>
      <c r="AH114" s="21">
        <f>IF(AE114="","",LOWER(IFERROR(TRIM(INDEX($A114:$X114,MATCH(Lists!$F$5,$A$1:$X$1,0))&amp;""),"")))</f>
        <v/>
      </c>
      <c r="AI114" s="21">
        <f>IF(AE114="","",IFERROR(TRIM(INDEX($A114:$X114,MATCH(Lists!$F$6,$A$1:$X$1,0))&amp;""),""))</f>
        <v/>
      </c>
      <c r="AJ114" s="21">
        <f>IF(AE114="","",IF(LEFT(IFERROR(TRIM(INDEX($A114:$X114,MATCH(Lists!$F$7,$A$1:$X$1,0))&amp;""),""),3)="Yes","Yes","No"))</f>
        <v/>
      </c>
      <c r="AK114" s="21">
        <f>IF(AE114="","",IFERROR(TRIM(INDEX($A114:$X114,MATCH(Lists!$F$8,$A$1:$X$1,0))&amp;""),""))</f>
        <v/>
      </c>
      <c r="AL114" s="21">
        <f>IF(AE114="","",IFERROR(IF(TRIM(INDEX($A114:$X114,MATCH(Lists!$F$9,$A$1:$X$1,0))&amp;"")="","",VALUE(TRIM(INDEX($A114:$X114,MATCH(Lists!$F$9,$A$1:$X$1,0))&amp;""))),""))</f>
        <v/>
      </c>
      <c r="AM114" s="21">
        <f>IF(AE114="","",IFERROR(TRIM(INDEX($A114:$X114,MATCH(Lists!$F$10,$A$1:$X$1,0))&amp;""),""))</f>
        <v/>
      </c>
      <c r="AN114" s="21">
        <f>IF(AE114="","",IF(OR(AM114="Paid",AM114="Partially refunded"),"Paid",IF(Z114="Yes","Paid (by hand)",IF(AM114&lt;&gt;"",AM114,"Unpaid"))))</f>
        <v/>
      </c>
      <c r="AO114" s="21">
        <f>IF(AD114=1,COUNTIFS($AE$2:$AE$301,"&lt;"&amp;AE114,$AD$2:$AD$301,1)+COUNTIF($AE$2:AE114,AE114),"")</f>
        <v/>
      </c>
    </row>
    <row r="115">
      <c r="Y115" s="19" t="n"/>
      <c r="Z115" s="22" t="n"/>
      <c r="AA115" s="22" t="n"/>
      <c r="AB115" s="22" t="n"/>
      <c r="AC115" s="19" t="n"/>
      <c r="AD115" s="21">
        <f>IF(AE115="",0,1)</f>
        <v/>
      </c>
      <c r="AE115" s="21">
        <f>IFERROR(TRIM(INDEX($A115:$X115,MATCH(Lists!$F$2,$A$1:$X$1,0))&amp;""),"")</f>
        <v/>
      </c>
      <c r="AF115" s="21">
        <f>IF(AE115="","",IFERROR(TRIM(INDEX($A115:$X115,MATCH(Lists!$F$3,$A$1:$X$1,0))&amp;""),""))</f>
        <v/>
      </c>
      <c r="AG115" s="21">
        <f>IF(AE115="","",IFERROR(TRIM(INDEX($A115:$X115,MATCH(Lists!$F$4,$A$1:$X$1,0))&amp;""),""))</f>
        <v/>
      </c>
      <c r="AH115" s="21">
        <f>IF(AE115="","",LOWER(IFERROR(TRIM(INDEX($A115:$X115,MATCH(Lists!$F$5,$A$1:$X$1,0))&amp;""),"")))</f>
        <v/>
      </c>
      <c r="AI115" s="21">
        <f>IF(AE115="","",IFERROR(TRIM(INDEX($A115:$X115,MATCH(Lists!$F$6,$A$1:$X$1,0))&amp;""),""))</f>
        <v/>
      </c>
      <c r="AJ115" s="21">
        <f>IF(AE115="","",IF(LEFT(IFERROR(TRIM(INDEX($A115:$X115,MATCH(Lists!$F$7,$A$1:$X$1,0))&amp;""),""),3)="Yes","Yes","No"))</f>
        <v/>
      </c>
      <c r="AK115" s="21">
        <f>IF(AE115="","",IFERROR(TRIM(INDEX($A115:$X115,MATCH(Lists!$F$8,$A$1:$X$1,0))&amp;""),""))</f>
        <v/>
      </c>
      <c r="AL115" s="21">
        <f>IF(AE115="","",IFERROR(IF(TRIM(INDEX($A115:$X115,MATCH(Lists!$F$9,$A$1:$X$1,0))&amp;"")="","",VALUE(TRIM(INDEX($A115:$X115,MATCH(Lists!$F$9,$A$1:$X$1,0))&amp;""))),""))</f>
        <v/>
      </c>
      <c r="AM115" s="21">
        <f>IF(AE115="","",IFERROR(TRIM(INDEX($A115:$X115,MATCH(Lists!$F$10,$A$1:$X$1,0))&amp;""),""))</f>
        <v/>
      </c>
      <c r="AN115" s="21">
        <f>IF(AE115="","",IF(OR(AM115="Paid",AM115="Partially refunded"),"Paid",IF(Z115="Yes","Paid (by hand)",IF(AM115&lt;&gt;"",AM115,"Unpaid"))))</f>
        <v/>
      </c>
      <c r="AO115" s="21">
        <f>IF(AD115=1,COUNTIFS($AE$2:$AE$301,"&lt;"&amp;AE115,$AD$2:$AD$301,1)+COUNTIF($AE$2:AE115,AE115),"")</f>
        <v/>
      </c>
    </row>
    <row r="116">
      <c r="Y116" s="19" t="n"/>
      <c r="Z116" s="22" t="n"/>
      <c r="AA116" s="22" t="n"/>
      <c r="AB116" s="22" t="n"/>
      <c r="AC116" s="19" t="n"/>
      <c r="AD116" s="21">
        <f>IF(AE116="",0,1)</f>
        <v/>
      </c>
      <c r="AE116" s="21">
        <f>IFERROR(TRIM(INDEX($A116:$X116,MATCH(Lists!$F$2,$A$1:$X$1,0))&amp;""),"")</f>
        <v/>
      </c>
      <c r="AF116" s="21">
        <f>IF(AE116="","",IFERROR(TRIM(INDEX($A116:$X116,MATCH(Lists!$F$3,$A$1:$X$1,0))&amp;""),""))</f>
        <v/>
      </c>
      <c r="AG116" s="21">
        <f>IF(AE116="","",IFERROR(TRIM(INDEX($A116:$X116,MATCH(Lists!$F$4,$A$1:$X$1,0))&amp;""),""))</f>
        <v/>
      </c>
      <c r="AH116" s="21">
        <f>IF(AE116="","",LOWER(IFERROR(TRIM(INDEX($A116:$X116,MATCH(Lists!$F$5,$A$1:$X$1,0))&amp;""),"")))</f>
        <v/>
      </c>
      <c r="AI116" s="21">
        <f>IF(AE116="","",IFERROR(TRIM(INDEX($A116:$X116,MATCH(Lists!$F$6,$A$1:$X$1,0))&amp;""),""))</f>
        <v/>
      </c>
      <c r="AJ116" s="21">
        <f>IF(AE116="","",IF(LEFT(IFERROR(TRIM(INDEX($A116:$X116,MATCH(Lists!$F$7,$A$1:$X$1,0))&amp;""),""),3)="Yes","Yes","No"))</f>
        <v/>
      </c>
      <c r="AK116" s="21">
        <f>IF(AE116="","",IFERROR(TRIM(INDEX($A116:$X116,MATCH(Lists!$F$8,$A$1:$X$1,0))&amp;""),""))</f>
        <v/>
      </c>
      <c r="AL116" s="21">
        <f>IF(AE116="","",IFERROR(IF(TRIM(INDEX($A116:$X116,MATCH(Lists!$F$9,$A$1:$X$1,0))&amp;"")="","",VALUE(TRIM(INDEX($A116:$X116,MATCH(Lists!$F$9,$A$1:$X$1,0))&amp;""))),""))</f>
        <v/>
      </c>
      <c r="AM116" s="21">
        <f>IF(AE116="","",IFERROR(TRIM(INDEX($A116:$X116,MATCH(Lists!$F$10,$A$1:$X$1,0))&amp;""),""))</f>
        <v/>
      </c>
      <c r="AN116" s="21">
        <f>IF(AE116="","",IF(OR(AM116="Paid",AM116="Partially refunded"),"Paid",IF(Z116="Yes","Paid (by hand)",IF(AM116&lt;&gt;"",AM116,"Unpaid"))))</f>
        <v/>
      </c>
      <c r="AO116" s="21">
        <f>IF(AD116=1,COUNTIFS($AE$2:$AE$301,"&lt;"&amp;AE116,$AD$2:$AD$301,1)+COUNTIF($AE$2:AE116,AE116),"")</f>
        <v/>
      </c>
    </row>
    <row r="117">
      <c r="Y117" s="19" t="n"/>
      <c r="Z117" s="22" t="n"/>
      <c r="AA117" s="22" t="n"/>
      <c r="AB117" s="22" t="n"/>
      <c r="AC117" s="19" t="n"/>
      <c r="AD117" s="21">
        <f>IF(AE117="",0,1)</f>
        <v/>
      </c>
      <c r="AE117" s="21">
        <f>IFERROR(TRIM(INDEX($A117:$X117,MATCH(Lists!$F$2,$A$1:$X$1,0))&amp;""),"")</f>
        <v/>
      </c>
      <c r="AF117" s="21">
        <f>IF(AE117="","",IFERROR(TRIM(INDEX($A117:$X117,MATCH(Lists!$F$3,$A$1:$X$1,0))&amp;""),""))</f>
        <v/>
      </c>
      <c r="AG117" s="21">
        <f>IF(AE117="","",IFERROR(TRIM(INDEX($A117:$X117,MATCH(Lists!$F$4,$A$1:$X$1,0))&amp;""),""))</f>
        <v/>
      </c>
      <c r="AH117" s="21">
        <f>IF(AE117="","",LOWER(IFERROR(TRIM(INDEX($A117:$X117,MATCH(Lists!$F$5,$A$1:$X$1,0))&amp;""),"")))</f>
        <v/>
      </c>
      <c r="AI117" s="21">
        <f>IF(AE117="","",IFERROR(TRIM(INDEX($A117:$X117,MATCH(Lists!$F$6,$A$1:$X$1,0))&amp;""),""))</f>
        <v/>
      </c>
      <c r="AJ117" s="21">
        <f>IF(AE117="","",IF(LEFT(IFERROR(TRIM(INDEX($A117:$X117,MATCH(Lists!$F$7,$A$1:$X$1,0))&amp;""),""),3)="Yes","Yes","No"))</f>
        <v/>
      </c>
      <c r="AK117" s="21">
        <f>IF(AE117="","",IFERROR(TRIM(INDEX($A117:$X117,MATCH(Lists!$F$8,$A$1:$X$1,0))&amp;""),""))</f>
        <v/>
      </c>
      <c r="AL117" s="21">
        <f>IF(AE117="","",IFERROR(IF(TRIM(INDEX($A117:$X117,MATCH(Lists!$F$9,$A$1:$X$1,0))&amp;"")="","",VALUE(TRIM(INDEX($A117:$X117,MATCH(Lists!$F$9,$A$1:$X$1,0))&amp;""))),""))</f>
        <v/>
      </c>
      <c r="AM117" s="21">
        <f>IF(AE117="","",IFERROR(TRIM(INDEX($A117:$X117,MATCH(Lists!$F$10,$A$1:$X$1,0))&amp;""),""))</f>
        <v/>
      </c>
      <c r="AN117" s="21">
        <f>IF(AE117="","",IF(OR(AM117="Paid",AM117="Partially refunded"),"Paid",IF(Z117="Yes","Paid (by hand)",IF(AM117&lt;&gt;"",AM117,"Unpaid"))))</f>
        <v/>
      </c>
      <c r="AO117" s="21">
        <f>IF(AD117=1,COUNTIFS($AE$2:$AE$301,"&lt;"&amp;AE117,$AD$2:$AD$301,1)+COUNTIF($AE$2:AE117,AE117),"")</f>
        <v/>
      </c>
    </row>
    <row r="118">
      <c r="Y118" s="19" t="n"/>
      <c r="Z118" s="22" t="n"/>
      <c r="AA118" s="22" t="n"/>
      <c r="AB118" s="22" t="n"/>
      <c r="AC118" s="19" t="n"/>
      <c r="AD118" s="21">
        <f>IF(AE118="",0,1)</f>
        <v/>
      </c>
      <c r="AE118" s="21">
        <f>IFERROR(TRIM(INDEX($A118:$X118,MATCH(Lists!$F$2,$A$1:$X$1,0))&amp;""),"")</f>
        <v/>
      </c>
      <c r="AF118" s="21">
        <f>IF(AE118="","",IFERROR(TRIM(INDEX($A118:$X118,MATCH(Lists!$F$3,$A$1:$X$1,0))&amp;""),""))</f>
        <v/>
      </c>
      <c r="AG118" s="21">
        <f>IF(AE118="","",IFERROR(TRIM(INDEX($A118:$X118,MATCH(Lists!$F$4,$A$1:$X$1,0))&amp;""),""))</f>
        <v/>
      </c>
      <c r="AH118" s="21">
        <f>IF(AE118="","",LOWER(IFERROR(TRIM(INDEX($A118:$X118,MATCH(Lists!$F$5,$A$1:$X$1,0))&amp;""),"")))</f>
        <v/>
      </c>
      <c r="AI118" s="21">
        <f>IF(AE118="","",IFERROR(TRIM(INDEX($A118:$X118,MATCH(Lists!$F$6,$A$1:$X$1,0))&amp;""),""))</f>
        <v/>
      </c>
      <c r="AJ118" s="21">
        <f>IF(AE118="","",IF(LEFT(IFERROR(TRIM(INDEX($A118:$X118,MATCH(Lists!$F$7,$A$1:$X$1,0))&amp;""),""),3)="Yes","Yes","No"))</f>
        <v/>
      </c>
      <c r="AK118" s="21">
        <f>IF(AE118="","",IFERROR(TRIM(INDEX($A118:$X118,MATCH(Lists!$F$8,$A$1:$X$1,0))&amp;""),""))</f>
        <v/>
      </c>
      <c r="AL118" s="21">
        <f>IF(AE118="","",IFERROR(IF(TRIM(INDEX($A118:$X118,MATCH(Lists!$F$9,$A$1:$X$1,0))&amp;"")="","",VALUE(TRIM(INDEX($A118:$X118,MATCH(Lists!$F$9,$A$1:$X$1,0))&amp;""))),""))</f>
        <v/>
      </c>
      <c r="AM118" s="21">
        <f>IF(AE118="","",IFERROR(TRIM(INDEX($A118:$X118,MATCH(Lists!$F$10,$A$1:$X$1,0))&amp;""),""))</f>
        <v/>
      </c>
      <c r="AN118" s="21">
        <f>IF(AE118="","",IF(OR(AM118="Paid",AM118="Partially refunded"),"Paid",IF(Z118="Yes","Paid (by hand)",IF(AM118&lt;&gt;"",AM118,"Unpaid"))))</f>
        <v/>
      </c>
      <c r="AO118" s="21">
        <f>IF(AD118=1,COUNTIFS($AE$2:$AE$301,"&lt;"&amp;AE118,$AD$2:$AD$301,1)+COUNTIF($AE$2:AE118,AE118),"")</f>
        <v/>
      </c>
    </row>
    <row r="119">
      <c r="Y119" s="19" t="n"/>
      <c r="Z119" s="22" t="n"/>
      <c r="AA119" s="22" t="n"/>
      <c r="AB119" s="22" t="n"/>
      <c r="AC119" s="19" t="n"/>
      <c r="AD119" s="21">
        <f>IF(AE119="",0,1)</f>
        <v/>
      </c>
      <c r="AE119" s="21">
        <f>IFERROR(TRIM(INDEX($A119:$X119,MATCH(Lists!$F$2,$A$1:$X$1,0))&amp;""),"")</f>
        <v/>
      </c>
      <c r="AF119" s="21">
        <f>IF(AE119="","",IFERROR(TRIM(INDEX($A119:$X119,MATCH(Lists!$F$3,$A$1:$X$1,0))&amp;""),""))</f>
        <v/>
      </c>
      <c r="AG119" s="21">
        <f>IF(AE119="","",IFERROR(TRIM(INDEX($A119:$X119,MATCH(Lists!$F$4,$A$1:$X$1,0))&amp;""),""))</f>
        <v/>
      </c>
      <c r="AH119" s="21">
        <f>IF(AE119="","",LOWER(IFERROR(TRIM(INDEX($A119:$X119,MATCH(Lists!$F$5,$A$1:$X$1,0))&amp;""),"")))</f>
        <v/>
      </c>
      <c r="AI119" s="21">
        <f>IF(AE119="","",IFERROR(TRIM(INDEX($A119:$X119,MATCH(Lists!$F$6,$A$1:$X$1,0))&amp;""),""))</f>
        <v/>
      </c>
      <c r="AJ119" s="21">
        <f>IF(AE119="","",IF(LEFT(IFERROR(TRIM(INDEX($A119:$X119,MATCH(Lists!$F$7,$A$1:$X$1,0))&amp;""),""),3)="Yes","Yes","No"))</f>
        <v/>
      </c>
      <c r="AK119" s="21">
        <f>IF(AE119="","",IFERROR(TRIM(INDEX($A119:$X119,MATCH(Lists!$F$8,$A$1:$X$1,0))&amp;""),""))</f>
        <v/>
      </c>
      <c r="AL119" s="21">
        <f>IF(AE119="","",IFERROR(IF(TRIM(INDEX($A119:$X119,MATCH(Lists!$F$9,$A$1:$X$1,0))&amp;"")="","",VALUE(TRIM(INDEX($A119:$X119,MATCH(Lists!$F$9,$A$1:$X$1,0))&amp;""))),""))</f>
        <v/>
      </c>
      <c r="AM119" s="21">
        <f>IF(AE119="","",IFERROR(TRIM(INDEX($A119:$X119,MATCH(Lists!$F$10,$A$1:$X$1,0))&amp;""),""))</f>
        <v/>
      </c>
      <c r="AN119" s="21">
        <f>IF(AE119="","",IF(OR(AM119="Paid",AM119="Partially refunded"),"Paid",IF(Z119="Yes","Paid (by hand)",IF(AM119&lt;&gt;"",AM119,"Unpaid"))))</f>
        <v/>
      </c>
      <c r="AO119" s="21">
        <f>IF(AD119=1,COUNTIFS($AE$2:$AE$301,"&lt;"&amp;AE119,$AD$2:$AD$301,1)+COUNTIF($AE$2:AE119,AE119),"")</f>
        <v/>
      </c>
    </row>
    <row r="120">
      <c r="Y120" s="19" t="n"/>
      <c r="Z120" s="22" t="n"/>
      <c r="AA120" s="22" t="n"/>
      <c r="AB120" s="22" t="n"/>
      <c r="AC120" s="19" t="n"/>
      <c r="AD120" s="21">
        <f>IF(AE120="",0,1)</f>
        <v/>
      </c>
      <c r="AE120" s="21">
        <f>IFERROR(TRIM(INDEX($A120:$X120,MATCH(Lists!$F$2,$A$1:$X$1,0))&amp;""),"")</f>
        <v/>
      </c>
      <c r="AF120" s="21">
        <f>IF(AE120="","",IFERROR(TRIM(INDEX($A120:$X120,MATCH(Lists!$F$3,$A$1:$X$1,0))&amp;""),""))</f>
        <v/>
      </c>
      <c r="AG120" s="21">
        <f>IF(AE120="","",IFERROR(TRIM(INDEX($A120:$X120,MATCH(Lists!$F$4,$A$1:$X$1,0))&amp;""),""))</f>
        <v/>
      </c>
      <c r="AH120" s="21">
        <f>IF(AE120="","",LOWER(IFERROR(TRIM(INDEX($A120:$X120,MATCH(Lists!$F$5,$A$1:$X$1,0))&amp;""),"")))</f>
        <v/>
      </c>
      <c r="AI120" s="21">
        <f>IF(AE120="","",IFERROR(TRIM(INDEX($A120:$X120,MATCH(Lists!$F$6,$A$1:$X$1,0))&amp;""),""))</f>
        <v/>
      </c>
      <c r="AJ120" s="21">
        <f>IF(AE120="","",IF(LEFT(IFERROR(TRIM(INDEX($A120:$X120,MATCH(Lists!$F$7,$A$1:$X$1,0))&amp;""),""),3)="Yes","Yes","No"))</f>
        <v/>
      </c>
      <c r="AK120" s="21">
        <f>IF(AE120="","",IFERROR(TRIM(INDEX($A120:$X120,MATCH(Lists!$F$8,$A$1:$X$1,0))&amp;""),""))</f>
        <v/>
      </c>
      <c r="AL120" s="21">
        <f>IF(AE120="","",IFERROR(IF(TRIM(INDEX($A120:$X120,MATCH(Lists!$F$9,$A$1:$X$1,0))&amp;"")="","",VALUE(TRIM(INDEX($A120:$X120,MATCH(Lists!$F$9,$A$1:$X$1,0))&amp;""))),""))</f>
        <v/>
      </c>
      <c r="AM120" s="21">
        <f>IF(AE120="","",IFERROR(TRIM(INDEX($A120:$X120,MATCH(Lists!$F$10,$A$1:$X$1,0))&amp;""),""))</f>
        <v/>
      </c>
      <c r="AN120" s="21">
        <f>IF(AE120="","",IF(OR(AM120="Paid",AM120="Partially refunded"),"Paid",IF(Z120="Yes","Paid (by hand)",IF(AM120&lt;&gt;"",AM120,"Unpaid"))))</f>
        <v/>
      </c>
      <c r="AO120" s="21">
        <f>IF(AD120=1,COUNTIFS($AE$2:$AE$301,"&lt;"&amp;AE120,$AD$2:$AD$301,1)+COUNTIF($AE$2:AE120,AE120),"")</f>
        <v/>
      </c>
    </row>
    <row r="121">
      <c r="Y121" s="19" t="n"/>
      <c r="Z121" s="22" t="n"/>
      <c r="AA121" s="22" t="n"/>
      <c r="AB121" s="22" t="n"/>
      <c r="AC121" s="19" t="n"/>
      <c r="AD121" s="21">
        <f>IF(AE121="",0,1)</f>
        <v/>
      </c>
      <c r="AE121" s="21">
        <f>IFERROR(TRIM(INDEX($A121:$X121,MATCH(Lists!$F$2,$A$1:$X$1,0))&amp;""),"")</f>
        <v/>
      </c>
      <c r="AF121" s="21">
        <f>IF(AE121="","",IFERROR(TRIM(INDEX($A121:$X121,MATCH(Lists!$F$3,$A$1:$X$1,0))&amp;""),""))</f>
        <v/>
      </c>
      <c r="AG121" s="21">
        <f>IF(AE121="","",IFERROR(TRIM(INDEX($A121:$X121,MATCH(Lists!$F$4,$A$1:$X$1,0))&amp;""),""))</f>
        <v/>
      </c>
      <c r="AH121" s="21">
        <f>IF(AE121="","",LOWER(IFERROR(TRIM(INDEX($A121:$X121,MATCH(Lists!$F$5,$A$1:$X$1,0))&amp;""),"")))</f>
        <v/>
      </c>
      <c r="AI121" s="21">
        <f>IF(AE121="","",IFERROR(TRIM(INDEX($A121:$X121,MATCH(Lists!$F$6,$A$1:$X$1,0))&amp;""),""))</f>
        <v/>
      </c>
      <c r="AJ121" s="21">
        <f>IF(AE121="","",IF(LEFT(IFERROR(TRIM(INDEX($A121:$X121,MATCH(Lists!$F$7,$A$1:$X$1,0))&amp;""),""),3)="Yes","Yes","No"))</f>
        <v/>
      </c>
      <c r="AK121" s="21">
        <f>IF(AE121="","",IFERROR(TRIM(INDEX($A121:$X121,MATCH(Lists!$F$8,$A$1:$X$1,0))&amp;""),""))</f>
        <v/>
      </c>
      <c r="AL121" s="21">
        <f>IF(AE121="","",IFERROR(IF(TRIM(INDEX($A121:$X121,MATCH(Lists!$F$9,$A$1:$X$1,0))&amp;"")="","",VALUE(TRIM(INDEX($A121:$X121,MATCH(Lists!$F$9,$A$1:$X$1,0))&amp;""))),""))</f>
        <v/>
      </c>
      <c r="AM121" s="21">
        <f>IF(AE121="","",IFERROR(TRIM(INDEX($A121:$X121,MATCH(Lists!$F$10,$A$1:$X$1,0))&amp;""),""))</f>
        <v/>
      </c>
      <c r="AN121" s="21">
        <f>IF(AE121="","",IF(OR(AM121="Paid",AM121="Partially refunded"),"Paid",IF(Z121="Yes","Paid (by hand)",IF(AM121&lt;&gt;"",AM121,"Unpaid"))))</f>
        <v/>
      </c>
      <c r="AO121" s="21">
        <f>IF(AD121=1,COUNTIFS($AE$2:$AE$301,"&lt;"&amp;AE121,$AD$2:$AD$301,1)+COUNTIF($AE$2:AE121,AE121),"")</f>
        <v/>
      </c>
    </row>
    <row r="122">
      <c r="Y122" s="19" t="n"/>
      <c r="Z122" s="22" t="n"/>
      <c r="AA122" s="22" t="n"/>
      <c r="AB122" s="22" t="n"/>
      <c r="AC122" s="19" t="n"/>
      <c r="AD122" s="21">
        <f>IF(AE122="",0,1)</f>
        <v/>
      </c>
      <c r="AE122" s="21">
        <f>IFERROR(TRIM(INDEX($A122:$X122,MATCH(Lists!$F$2,$A$1:$X$1,0))&amp;""),"")</f>
        <v/>
      </c>
      <c r="AF122" s="21">
        <f>IF(AE122="","",IFERROR(TRIM(INDEX($A122:$X122,MATCH(Lists!$F$3,$A$1:$X$1,0))&amp;""),""))</f>
        <v/>
      </c>
      <c r="AG122" s="21">
        <f>IF(AE122="","",IFERROR(TRIM(INDEX($A122:$X122,MATCH(Lists!$F$4,$A$1:$X$1,0))&amp;""),""))</f>
        <v/>
      </c>
      <c r="AH122" s="21">
        <f>IF(AE122="","",LOWER(IFERROR(TRIM(INDEX($A122:$X122,MATCH(Lists!$F$5,$A$1:$X$1,0))&amp;""),"")))</f>
        <v/>
      </c>
      <c r="AI122" s="21">
        <f>IF(AE122="","",IFERROR(TRIM(INDEX($A122:$X122,MATCH(Lists!$F$6,$A$1:$X$1,0))&amp;""),""))</f>
        <v/>
      </c>
      <c r="AJ122" s="21">
        <f>IF(AE122="","",IF(LEFT(IFERROR(TRIM(INDEX($A122:$X122,MATCH(Lists!$F$7,$A$1:$X$1,0))&amp;""),""),3)="Yes","Yes","No"))</f>
        <v/>
      </c>
      <c r="AK122" s="21">
        <f>IF(AE122="","",IFERROR(TRIM(INDEX($A122:$X122,MATCH(Lists!$F$8,$A$1:$X$1,0))&amp;""),""))</f>
        <v/>
      </c>
      <c r="AL122" s="21">
        <f>IF(AE122="","",IFERROR(IF(TRIM(INDEX($A122:$X122,MATCH(Lists!$F$9,$A$1:$X$1,0))&amp;"")="","",VALUE(TRIM(INDEX($A122:$X122,MATCH(Lists!$F$9,$A$1:$X$1,0))&amp;""))),""))</f>
        <v/>
      </c>
      <c r="AM122" s="21">
        <f>IF(AE122="","",IFERROR(TRIM(INDEX($A122:$X122,MATCH(Lists!$F$10,$A$1:$X$1,0))&amp;""),""))</f>
        <v/>
      </c>
      <c r="AN122" s="21">
        <f>IF(AE122="","",IF(OR(AM122="Paid",AM122="Partially refunded"),"Paid",IF(Z122="Yes","Paid (by hand)",IF(AM122&lt;&gt;"",AM122,"Unpaid"))))</f>
        <v/>
      </c>
      <c r="AO122" s="21">
        <f>IF(AD122=1,COUNTIFS($AE$2:$AE$301,"&lt;"&amp;AE122,$AD$2:$AD$301,1)+COUNTIF($AE$2:AE122,AE122),"")</f>
        <v/>
      </c>
    </row>
    <row r="123">
      <c r="Y123" s="19" t="n"/>
      <c r="Z123" s="22" t="n"/>
      <c r="AA123" s="22" t="n"/>
      <c r="AB123" s="22" t="n"/>
      <c r="AC123" s="19" t="n"/>
      <c r="AD123" s="21">
        <f>IF(AE123="",0,1)</f>
        <v/>
      </c>
      <c r="AE123" s="21">
        <f>IFERROR(TRIM(INDEX($A123:$X123,MATCH(Lists!$F$2,$A$1:$X$1,0))&amp;""),"")</f>
        <v/>
      </c>
      <c r="AF123" s="21">
        <f>IF(AE123="","",IFERROR(TRIM(INDEX($A123:$X123,MATCH(Lists!$F$3,$A$1:$X$1,0))&amp;""),""))</f>
        <v/>
      </c>
      <c r="AG123" s="21">
        <f>IF(AE123="","",IFERROR(TRIM(INDEX($A123:$X123,MATCH(Lists!$F$4,$A$1:$X$1,0))&amp;""),""))</f>
        <v/>
      </c>
      <c r="AH123" s="21">
        <f>IF(AE123="","",LOWER(IFERROR(TRIM(INDEX($A123:$X123,MATCH(Lists!$F$5,$A$1:$X$1,0))&amp;""),"")))</f>
        <v/>
      </c>
      <c r="AI123" s="21">
        <f>IF(AE123="","",IFERROR(TRIM(INDEX($A123:$X123,MATCH(Lists!$F$6,$A$1:$X$1,0))&amp;""),""))</f>
        <v/>
      </c>
      <c r="AJ123" s="21">
        <f>IF(AE123="","",IF(LEFT(IFERROR(TRIM(INDEX($A123:$X123,MATCH(Lists!$F$7,$A$1:$X$1,0))&amp;""),""),3)="Yes","Yes","No"))</f>
        <v/>
      </c>
      <c r="AK123" s="21">
        <f>IF(AE123="","",IFERROR(TRIM(INDEX($A123:$X123,MATCH(Lists!$F$8,$A$1:$X$1,0))&amp;""),""))</f>
        <v/>
      </c>
      <c r="AL123" s="21">
        <f>IF(AE123="","",IFERROR(IF(TRIM(INDEX($A123:$X123,MATCH(Lists!$F$9,$A$1:$X$1,0))&amp;"")="","",VALUE(TRIM(INDEX($A123:$X123,MATCH(Lists!$F$9,$A$1:$X$1,0))&amp;""))),""))</f>
        <v/>
      </c>
      <c r="AM123" s="21">
        <f>IF(AE123="","",IFERROR(TRIM(INDEX($A123:$X123,MATCH(Lists!$F$10,$A$1:$X$1,0))&amp;""),""))</f>
        <v/>
      </c>
      <c r="AN123" s="21">
        <f>IF(AE123="","",IF(OR(AM123="Paid",AM123="Partially refunded"),"Paid",IF(Z123="Yes","Paid (by hand)",IF(AM123&lt;&gt;"",AM123,"Unpaid"))))</f>
        <v/>
      </c>
      <c r="AO123" s="21">
        <f>IF(AD123=1,COUNTIFS($AE$2:$AE$301,"&lt;"&amp;AE123,$AD$2:$AD$301,1)+COUNTIF($AE$2:AE123,AE123),"")</f>
        <v/>
      </c>
    </row>
    <row r="124">
      <c r="Y124" s="19" t="n"/>
      <c r="Z124" s="22" t="n"/>
      <c r="AA124" s="22" t="n"/>
      <c r="AB124" s="22" t="n"/>
      <c r="AC124" s="19" t="n"/>
      <c r="AD124" s="21">
        <f>IF(AE124="",0,1)</f>
        <v/>
      </c>
      <c r="AE124" s="21">
        <f>IFERROR(TRIM(INDEX($A124:$X124,MATCH(Lists!$F$2,$A$1:$X$1,0))&amp;""),"")</f>
        <v/>
      </c>
      <c r="AF124" s="21">
        <f>IF(AE124="","",IFERROR(TRIM(INDEX($A124:$X124,MATCH(Lists!$F$3,$A$1:$X$1,0))&amp;""),""))</f>
        <v/>
      </c>
      <c r="AG124" s="21">
        <f>IF(AE124="","",IFERROR(TRIM(INDEX($A124:$X124,MATCH(Lists!$F$4,$A$1:$X$1,0))&amp;""),""))</f>
        <v/>
      </c>
      <c r="AH124" s="21">
        <f>IF(AE124="","",LOWER(IFERROR(TRIM(INDEX($A124:$X124,MATCH(Lists!$F$5,$A$1:$X$1,0))&amp;""),"")))</f>
        <v/>
      </c>
      <c r="AI124" s="21">
        <f>IF(AE124="","",IFERROR(TRIM(INDEX($A124:$X124,MATCH(Lists!$F$6,$A$1:$X$1,0))&amp;""),""))</f>
        <v/>
      </c>
      <c r="AJ124" s="21">
        <f>IF(AE124="","",IF(LEFT(IFERROR(TRIM(INDEX($A124:$X124,MATCH(Lists!$F$7,$A$1:$X$1,0))&amp;""),""),3)="Yes","Yes","No"))</f>
        <v/>
      </c>
      <c r="AK124" s="21">
        <f>IF(AE124="","",IFERROR(TRIM(INDEX($A124:$X124,MATCH(Lists!$F$8,$A$1:$X$1,0))&amp;""),""))</f>
        <v/>
      </c>
      <c r="AL124" s="21">
        <f>IF(AE124="","",IFERROR(IF(TRIM(INDEX($A124:$X124,MATCH(Lists!$F$9,$A$1:$X$1,0))&amp;"")="","",VALUE(TRIM(INDEX($A124:$X124,MATCH(Lists!$F$9,$A$1:$X$1,0))&amp;""))),""))</f>
        <v/>
      </c>
      <c r="AM124" s="21">
        <f>IF(AE124="","",IFERROR(TRIM(INDEX($A124:$X124,MATCH(Lists!$F$10,$A$1:$X$1,0))&amp;""),""))</f>
        <v/>
      </c>
      <c r="AN124" s="21">
        <f>IF(AE124="","",IF(OR(AM124="Paid",AM124="Partially refunded"),"Paid",IF(Z124="Yes","Paid (by hand)",IF(AM124&lt;&gt;"",AM124,"Unpaid"))))</f>
        <v/>
      </c>
      <c r="AO124" s="21">
        <f>IF(AD124=1,COUNTIFS($AE$2:$AE$301,"&lt;"&amp;AE124,$AD$2:$AD$301,1)+COUNTIF($AE$2:AE124,AE124),"")</f>
        <v/>
      </c>
    </row>
    <row r="125">
      <c r="Y125" s="19" t="n"/>
      <c r="Z125" s="22" t="n"/>
      <c r="AA125" s="22" t="n"/>
      <c r="AB125" s="22" t="n"/>
      <c r="AC125" s="19" t="n"/>
      <c r="AD125" s="21">
        <f>IF(AE125="",0,1)</f>
        <v/>
      </c>
      <c r="AE125" s="21">
        <f>IFERROR(TRIM(INDEX($A125:$X125,MATCH(Lists!$F$2,$A$1:$X$1,0))&amp;""),"")</f>
        <v/>
      </c>
      <c r="AF125" s="21">
        <f>IF(AE125="","",IFERROR(TRIM(INDEX($A125:$X125,MATCH(Lists!$F$3,$A$1:$X$1,0))&amp;""),""))</f>
        <v/>
      </c>
      <c r="AG125" s="21">
        <f>IF(AE125="","",IFERROR(TRIM(INDEX($A125:$X125,MATCH(Lists!$F$4,$A$1:$X$1,0))&amp;""),""))</f>
        <v/>
      </c>
      <c r="AH125" s="21">
        <f>IF(AE125="","",LOWER(IFERROR(TRIM(INDEX($A125:$X125,MATCH(Lists!$F$5,$A$1:$X$1,0))&amp;""),"")))</f>
        <v/>
      </c>
      <c r="AI125" s="21">
        <f>IF(AE125="","",IFERROR(TRIM(INDEX($A125:$X125,MATCH(Lists!$F$6,$A$1:$X$1,0))&amp;""),""))</f>
        <v/>
      </c>
      <c r="AJ125" s="21">
        <f>IF(AE125="","",IF(LEFT(IFERROR(TRIM(INDEX($A125:$X125,MATCH(Lists!$F$7,$A$1:$X$1,0))&amp;""),""),3)="Yes","Yes","No"))</f>
        <v/>
      </c>
      <c r="AK125" s="21">
        <f>IF(AE125="","",IFERROR(TRIM(INDEX($A125:$X125,MATCH(Lists!$F$8,$A$1:$X$1,0))&amp;""),""))</f>
        <v/>
      </c>
      <c r="AL125" s="21">
        <f>IF(AE125="","",IFERROR(IF(TRIM(INDEX($A125:$X125,MATCH(Lists!$F$9,$A$1:$X$1,0))&amp;"")="","",VALUE(TRIM(INDEX($A125:$X125,MATCH(Lists!$F$9,$A$1:$X$1,0))&amp;""))),""))</f>
        <v/>
      </c>
      <c r="AM125" s="21">
        <f>IF(AE125="","",IFERROR(TRIM(INDEX($A125:$X125,MATCH(Lists!$F$10,$A$1:$X$1,0))&amp;""),""))</f>
        <v/>
      </c>
      <c r="AN125" s="21">
        <f>IF(AE125="","",IF(OR(AM125="Paid",AM125="Partially refunded"),"Paid",IF(Z125="Yes","Paid (by hand)",IF(AM125&lt;&gt;"",AM125,"Unpaid"))))</f>
        <v/>
      </c>
      <c r="AO125" s="21">
        <f>IF(AD125=1,COUNTIFS($AE$2:$AE$301,"&lt;"&amp;AE125,$AD$2:$AD$301,1)+COUNTIF($AE$2:AE125,AE125),"")</f>
        <v/>
      </c>
    </row>
    <row r="126">
      <c r="Y126" s="19" t="n"/>
      <c r="Z126" s="22" t="n"/>
      <c r="AA126" s="22" t="n"/>
      <c r="AB126" s="22" t="n"/>
      <c r="AC126" s="19" t="n"/>
      <c r="AD126" s="21">
        <f>IF(AE126="",0,1)</f>
        <v/>
      </c>
      <c r="AE126" s="21">
        <f>IFERROR(TRIM(INDEX($A126:$X126,MATCH(Lists!$F$2,$A$1:$X$1,0))&amp;""),"")</f>
        <v/>
      </c>
      <c r="AF126" s="21">
        <f>IF(AE126="","",IFERROR(TRIM(INDEX($A126:$X126,MATCH(Lists!$F$3,$A$1:$X$1,0))&amp;""),""))</f>
        <v/>
      </c>
      <c r="AG126" s="21">
        <f>IF(AE126="","",IFERROR(TRIM(INDEX($A126:$X126,MATCH(Lists!$F$4,$A$1:$X$1,0))&amp;""),""))</f>
        <v/>
      </c>
      <c r="AH126" s="21">
        <f>IF(AE126="","",LOWER(IFERROR(TRIM(INDEX($A126:$X126,MATCH(Lists!$F$5,$A$1:$X$1,0))&amp;""),"")))</f>
        <v/>
      </c>
      <c r="AI126" s="21">
        <f>IF(AE126="","",IFERROR(TRIM(INDEX($A126:$X126,MATCH(Lists!$F$6,$A$1:$X$1,0))&amp;""),""))</f>
        <v/>
      </c>
      <c r="AJ126" s="21">
        <f>IF(AE126="","",IF(LEFT(IFERROR(TRIM(INDEX($A126:$X126,MATCH(Lists!$F$7,$A$1:$X$1,0))&amp;""),""),3)="Yes","Yes","No"))</f>
        <v/>
      </c>
      <c r="AK126" s="21">
        <f>IF(AE126="","",IFERROR(TRIM(INDEX($A126:$X126,MATCH(Lists!$F$8,$A$1:$X$1,0))&amp;""),""))</f>
        <v/>
      </c>
      <c r="AL126" s="21">
        <f>IF(AE126="","",IFERROR(IF(TRIM(INDEX($A126:$X126,MATCH(Lists!$F$9,$A$1:$X$1,0))&amp;"")="","",VALUE(TRIM(INDEX($A126:$X126,MATCH(Lists!$F$9,$A$1:$X$1,0))&amp;""))),""))</f>
        <v/>
      </c>
      <c r="AM126" s="21">
        <f>IF(AE126="","",IFERROR(TRIM(INDEX($A126:$X126,MATCH(Lists!$F$10,$A$1:$X$1,0))&amp;""),""))</f>
        <v/>
      </c>
      <c r="AN126" s="21">
        <f>IF(AE126="","",IF(OR(AM126="Paid",AM126="Partially refunded"),"Paid",IF(Z126="Yes","Paid (by hand)",IF(AM126&lt;&gt;"",AM126,"Unpaid"))))</f>
        <v/>
      </c>
      <c r="AO126" s="21">
        <f>IF(AD126=1,COUNTIFS($AE$2:$AE$301,"&lt;"&amp;AE126,$AD$2:$AD$301,1)+COUNTIF($AE$2:AE126,AE126),"")</f>
        <v/>
      </c>
    </row>
    <row r="127">
      <c r="Y127" s="19" t="n"/>
      <c r="Z127" s="22" t="n"/>
      <c r="AA127" s="22" t="n"/>
      <c r="AB127" s="22" t="n"/>
      <c r="AC127" s="19" t="n"/>
      <c r="AD127" s="21">
        <f>IF(AE127="",0,1)</f>
        <v/>
      </c>
      <c r="AE127" s="21">
        <f>IFERROR(TRIM(INDEX($A127:$X127,MATCH(Lists!$F$2,$A$1:$X$1,0))&amp;""),"")</f>
        <v/>
      </c>
      <c r="AF127" s="21">
        <f>IF(AE127="","",IFERROR(TRIM(INDEX($A127:$X127,MATCH(Lists!$F$3,$A$1:$X$1,0))&amp;""),""))</f>
        <v/>
      </c>
      <c r="AG127" s="21">
        <f>IF(AE127="","",IFERROR(TRIM(INDEX($A127:$X127,MATCH(Lists!$F$4,$A$1:$X$1,0))&amp;""),""))</f>
        <v/>
      </c>
      <c r="AH127" s="21">
        <f>IF(AE127="","",LOWER(IFERROR(TRIM(INDEX($A127:$X127,MATCH(Lists!$F$5,$A$1:$X$1,0))&amp;""),"")))</f>
        <v/>
      </c>
      <c r="AI127" s="21">
        <f>IF(AE127="","",IFERROR(TRIM(INDEX($A127:$X127,MATCH(Lists!$F$6,$A$1:$X$1,0))&amp;""),""))</f>
        <v/>
      </c>
      <c r="AJ127" s="21">
        <f>IF(AE127="","",IF(LEFT(IFERROR(TRIM(INDEX($A127:$X127,MATCH(Lists!$F$7,$A$1:$X$1,0))&amp;""),""),3)="Yes","Yes","No"))</f>
        <v/>
      </c>
      <c r="AK127" s="21">
        <f>IF(AE127="","",IFERROR(TRIM(INDEX($A127:$X127,MATCH(Lists!$F$8,$A$1:$X$1,0))&amp;""),""))</f>
        <v/>
      </c>
      <c r="AL127" s="21">
        <f>IF(AE127="","",IFERROR(IF(TRIM(INDEX($A127:$X127,MATCH(Lists!$F$9,$A$1:$X$1,0))&amp;"")="","",VALUE(TRIM(INDEX($A127:$X127,MATCH(Lists!$F$9,$A$1:$X$1,0))&amp;""))),""))</f>
        <v/>
      </c>
      <c r="AM127" s="21">
        <f>IF(AE127="","",IFERROR(TRIM(INDEX($A127:$X127,MATCH(Lists!$F$10,$A$1:$X$1,0))&amp;""),""))</f>
        <v/>
      </c>
      <c r="AN127" s="21">
        <f>IF(AE127="","",IF(OR(AM127="Paid",AM127="Partially refunded"),"Paid",IF(Z127="Yes","Paid (by hand)",IF(AM127&lt;&gt;"",AM127,"Unpaid"))))</f>
        <v/>
      </c>
      <c r="AO127" s="21">
        <f>IF(AD127=1,COUNTIFS($AE$2:$AE$301,"&lt;"&amp;AE127,$AD$2:$AD$301,1)+COUNTIF($AE$2:AE127,AE127),"")</f>
        <v/>
      </c>
    </row>
    <row r="128">
      <c r="Y128" s="19" t="n"/>
      <c r="Z128" s="22" t="n"/>
      <c r="AA128" s="22" t="n"/>
      <c r="AB128" s="22" t="n"/>
      <c r="AC128" s="19" t="n"/>
      <c r="AD128" s="21">
        <f>IF(AE128="",0,1)</f>
        <v/>
      </c>
      <c r="AE128" s="21">
        <f>IFERROR(TRIM(INDEX($A128:$X128,MATCH(Lists!$F$2,$A$1:$X$1,0))&amp;""),"")</f>
        <v/>
      </c>
      <c r="AF128" s="21">
        <f>IF(AE128="","",IFERROR(TRIM(INDEX($A128:$X128,MATCH(Lists!$F$3,$A$1:$X$1,0))&amp;""),""))</f>
        <v/>
      </c>
      <c r="AG128" s="21">
        <f>IF(AE128="","",IFERROR(TRIM(INDEX($A128:$X128,MATCH(Lists!$F$4,$A$1:$X$1,0))&amp;""),""))</f>
        <v/>
      </c>
      <c r="AH128" s="21">
        <f>IF(AE128="","",LOWER(IFERROR(TRIM(INDEX($A128:$X128,MATCH(Lists!$F$5,$A$1:$X$1,0))&amp;""),"")))</f>
        <v/>
      </c>
      <c r="AI128" s="21">
        <f>IF(AE128="","",IFERROR(TRIM(INDEX($A128:$X128,MATCH(Lists!$F$6,$A$1:$X$1,0))&amp;""),""))</f>
        <v/>
      </c>
      <c r="AJ128" s="21">
        <f>IF(AE128="","",IF(LEFT(IFERROR(TRIM(INDEX($A128:$X128,MATCH(Lists!$F$7,$A$1:$X$1,0))&amp;""),""),3)="Yes","Yes","No"))</f>
        <v/>
      </c>
      <c r="AK128" s="21">
        <f>IF(AE128="","",IFERROR(TRIM(INDEX($A128:$X128,MATCH(Lists!$F$8,$A$1:$X$1,0))&amp;""),""))</f>
        <v/>
      </c>
      <c r="AL128" s="21">
        <f>IF(AE128="","",IFERROR(IF(TRIM(INDEX($A128:$X128,MATCH(Lists!$F$9,$A$1:$X$1,0))&amp;"")="","",VALUE(TRIM(INDEX($A128:$X128,MATCH(Lists!$F$9,$A$1:$X$1,0))&amp;""))),""))</f>
        <v/>
      </c>
      <c r="AM128" s="21">
        <f>IF(AE128="","",IFERROR(TRIM(INDEX($A128:$X128,MATCH(Lists!$F$10,$A$1:$X$1,0))&amp;""),""))</f>
        <v/>
      </c>
      <c r="AN128" s="21">
        <f>IF(AE128="","",IF(OR(AM128="Paid",AM128="Partially refunded"),"Paid",IF(Z128="Yes","Paid (by hand)",IF(AM128&lt;&gt;"",AM128,"Unpaid"))))</f>
        <v/>
      </c>
      <c r="AO128" s="21">
        <f>IF(AD128=1,COUNTIFS($AE$2:$AE$301,"&lt;"&amp;AE128,$AD$2:$AD$301,1)+COUNTIF($AE$2:AE128,AE128),"")</f>
        <v/>
      </c>
    </row>
    <row r="129">
      <c r="Y129" s="19" t="n"/>
      <c r="Z129" s="22" t="n"/>
      <c r="AA129" s="22" t="n"/>
      <c r="AB129" s="22" t="n"/>
      <c r="AC129" s="19" t="n"/>
      <c r="AD129" s="21">
        <f>IF(AE129="",0,1)</f>
        <v/>
      </c>
      <c r="AE129" s="21">
        <f>IFERROR(TRIM(INDEX($A129:$X129,MATCH(Lists!$F$2,$A$1:$X$1,0))&amp;""),"")</f>
        <v/>
      </c>
      <c r="AF129" s="21">
        <f>IF(AE129="","",IFERROR(TRIM(INDEX($A129:$X129,MATCH(Lists!$F$3,$A$1:$X$1,0))&amp;""),""))</f>
        <v/>
      </c>
      <c r="AG129" s="21">
        <f>IF(AE129="","",IFERROR(TRIM(INDEX($A129:$X129,MATCH(Lists!$F$4,$A$1:$X$1,0))&amp;""),""))</f>
        <v/>
      </c>
      <c r="AH129" s="21">
        <f>IF(AE129="","",LOWER(IFERROR(TRIM(INDEX($A129:$X129,MATCH(Lists!$F$5,$A$1:$X$1,0))&amp;""),"")))</f>
        <v/>
      </c>
      <c r="AI129" s="21">
        <f>IF(AE129="","",IFERROR(TRIM(INDEX($A129:$X129,MATCH(Lists!$F$6,$A$1:$X$1,0))&amp;""),""))</f>
        <v/>
      </c>
      <c r="AJ129" s="21">
        <f>IF(AE129="","",IF(LEFT(IFERROR(TRIM(INDEX($A129:$X129,MATCH(Lists!$F$7,$A$1:$X$1,0))&amp;""),""),3)="Yes","Yes","No"))</f>
        <v/>
      </c>
      <c r="AK129" s="21">
        <f>IF(AE129="","",IFERROR(TRIM(INDEX($A129:$X129,MATCH(Lists!$F$8,$A$1:$X$1,0))&amp;""),""))</f>
        <v/>
      </c>
      <c r="AL129" s="21">
        <f>IF(AE129="","",IFERROR(IF(TRIM(INDEX($A129:$X129,MATCH(Lists!$F$9,$A$1:$X$1,0))&amp;"")="","",VALUE(TRIM(INDEX($A129:$X129,MATCH(Lists!$F$9,$A$1:$X$1,0))&amp;""))),""))</f>
        <v/>
      </c>
      <c r="AM129" s="21">
        <f>IF(AE129="","",IFERROR(TRIM(INDEX($A129:$X129,MATCH(Lists!$F$10,$A$1:$X$1,0))&amp;""),""))</f>
        <v/>
      </c>
      <c r="AN129" s="21">
        <f>IF(AE129="","",IF(OR(AM129="Paid",AM129="Partially refunded"),"Paid",IF(Z129="Yes","Paid (by hand)",IF(AM129&lt;&gt;"",AM129,"Unpaid"))))</f>
        <v/>
      </c>
      <c r="AO129" s="21">
        <f>IF(AD129=1,COUNTIFS($AE$2:$AE$301,"&lt;"&amp;AE129,$AD$2:$AD$301,1)+COUNTIF($AE$2:AE129,AE129),"")</f>
        <v/>
      </c>
    </row>
    <row r="130">
      <c r="Y130" s="19" t="n"/>
      <c r="Z130" s="22" t="n"/>
      <c r="AA130" s="22" t="n"/>
      <c r="AB130" s="22" t="n"/>
      <c r="AC130" s="19" t="n"/>
      <c r="AD130" s="21">
        <f>IF(AE130="",0,1)</f>
        <v/>
      </c>
      <c r="AE130" s="21">
        <f>IFERROR(TRIM(INDEX($A130:$X130,MATCH(Lists!$F$2,$A$1:$X$1,0))&amp;""),"")</f>
        <v/>
      </c>
      <c r="AF130" s="21">
        <f>IF(AE130="","",IFERROR(TRIM(INDEX($A130:$X130,MATCH(Lists!$F$3,$A$1:$X$1,0))&amp;""),""))</f>
        <v/>
      </c>
      <c r="AG130" s="21">
        <f>IF(AE130="","",IFERROR(TRIM(INDEX($A130:$X130,MATCH(Lists!$F$4,$A$1:$X$1,0))&amp;""),""))</f>
        <v/>
      </c>
      <c r="AH130" s="21">
        <f>IF(AE130="","",LOWER(IFERROR(TRIM(INDEX($A130:$X130,MATCH(Lists!$F$5,$A$1:$X$1,0))&amp;""),"")))</f>
        <v/>
      </c>
      <c r="AI130" s="21">
        <f>IF(AE130="","",IFERROR(TRIM(INDEX($A130:$X130,MATCH(Lists!$F$6,$A$1:$X$1,0))&amp;""),""))</f>
        <v/>
      </c>
      <c r="AJ130" s="21">
        <f>IF(AE130="","",IF(LEFT(IFERROR(TRIM(INDEX($A130:$X130,MATCH(Lists!$F$7,$A$1:$X$1,0))&amp;""),""),3)="Yes","Yes","No"))</f>
        <v/>
      </c>
      <c r="AK130" s="21">
        <f>IF(AE130="","",IFERROR(TRIM(INDEX($A130:$X130,MATCH(Lists!$F$8,$A$1:$X$1,0))&amp;""),""))</f>
        <v/>
      </c>
      <c r="AL130" s="21">
        <f>IF(AE130="","",IFERROR(IF(TRIM(INDEX($A130:$X130,MATCH(Lists!$F$9,$A$1:$X$1,0))&amp;"")="","",VALUE(TRIM(INDEX($A130:$X130,MATCH(Lists!$F$9,$A$1:$X$1,0))&amp;""))),""))</f>
        <v/>
      </c>
      <c r="AM130" s="21">
        <f>IF(AE130="","",IFERROR(TRIM(INDEX($A130:$X130,MATCH(Lists!$F$10,$A$1:$X$1,0))&amp;""),""))</f>
        <v/>
      </c>
      <c r="AN130" s="21">
        <f>IF(AE130="","",IF(OR(AM130="Paid",AM130="Partially refunded"),"Paid",IF(Z130="Yes","Paid (by hand)",IF(AM130&lt;&gt;"",AM130,"Unpaid"))))</f>
        <v/>
      </c>
      <c r="AO130" s="21">
        <f>IF(AD130=1,COUNTIFS($AE$2:$AE$301,"&lt;"&amp;AE130,$AD$2:$AD$301,1)+COUNTIF($AE$2:AE130,AE130),"")</f>
        <v/>
      </c>
    </row>
    <row r="131">
      <c r="Y131" s="19" t="n"/>
      <c r="Z131" s="22" t="n"/>
      <c r="AA131" s="22" t="n"/>
      <c r="AB131" s="22" t="n"/>
      <c r="AC131" s="19" t="n"/>
      <c r="AD131" s="21">
        <f>IF(AE131="",0,1)</f>
        <v/>
      </c>
      <c r="AE131" s="21">
        <f>IFERROR(TRIM(INDEX($A131:$X131,MATCH(Lists!$F$2,$A$1:$X$1,0))&amp;""),"")</f>
        <v/>
      </c>
      <c r="AF131" s="21">
        <f>IF(AE131="","",IFERROR(TRIM(INDEX($A131:$X131,MATCH(Lists!$F$3,$A$1:$X$1,0))&amp;""),""))</f>
        <v/>
      </c>
      <c r="AG131" s="21">
        <f>IF(AE131="","",IFERROR(TRIM(INDEX($A131:$X131,MATCH(Lists!$F$4,$A$1:$X$1,0))&amp;""),""))</f>
        <v/>
      </c>
      <c r="AH131" s="21">
        <f>IF(AE131="","",LOWER(IFERROR(TRIM(INDEX($A131:$X131,MATCH(Lists!$F$5,$A$1:$X$1,0))&amp;""),"")))</f>
        <v/>
      </c>
      <c r="AI131" s="21">
        <f>IF(AE131="","",IFERROR(TRIM(INDEX($A131:$X131,MATCH(Lists!$F$6,$A$1:$X$1,0))&amp;""),""))</f>
        <v/>
      </c>
      <c r="AJ131" s="21">
        <f>IF(AE131="","",IF(LEFT(IFERROR(TRIM(INDEX($A131:$X131,MATCH(Lists!$F$7,$A$1:$X$1,0))&amp;""),""),3)="Yes","Yes","No"))</f>
        <v/>
      </c>
      <c r="AK131" s="21">
        <f>IF(AE131="","",IFERROR(TRIM(INDEX($A131:$X131,MATCH(Lists!$F$8,$A$1:$X$1,0))&amp;""),""))</f>
        <v/>
      </c>
      <c r="AL131" s="21">
        <f>IF(AE131="","",IFERROR(IF(TRIM(INDEX($A131:$X131,MATCH(Lists!$F$9,$A$1:$X$1,0))&amp;"")="","",VALUE(TRIM(INDEX($A131:$X131,MATCH(Lists!$F$9,$A$1:$X$1,0))&amp;""))),""))</f>
        <v/>
      </c>
      <c r="AM131" s="21">
        <f>IF(AE131="","",IFERROR(TRIM(INDEX($A131:$X131,MATCH(Lists!$F$10,$A$1:$X$1,0))&amp;""),""))</f>
        <v/>
      </c>
      <c r="AN131" s="21">
        <f>IF(AE131="","",IF(OR(AM131="Paid",AM131="Partially refunded"),"Paid",IF(Z131="Yes","Paid (by hand)",IF(AM131&lt;&gt;"",AM131,"Unpaid"))))</f>
        <v/>
      </c>
      <c r="AO131" s="21">
        <f>IF(AD131=1,COUNTIFS($AE$2:$AE$301,"&lt;"&amp;AE131,$AD$2:$AD$301,1)+COUNTIF($AE$2:AE131,AE131),"")</f>
        <v/>
      </c>
    </row>
    <row r="132">
      <c r="Y132" s="19" t="n"/>
      <c r="Z132" s="22" t="n"/>
      <c r="AA132" s="22" t="n"/>
      <c r="AB132" s="22" t="n"/>
      <c r="AC132" s="19" t="n"/>
      <c r="AD132" s="21">
        <f>IF(AE132="",0,1)</f>
        <v/>
      </c>
      <c r="AE132" s="21">
        <f>IFERROR(TRIM(INDEX($A132:$X132,MATCH(Lists!$F$2,$A$1:$X$1,0))&amp;""),"")</f>
        <v/>
      </c>
      <c r="AF132" s="21">
        <f>IF(AE132="","",IFERROR(TRIM(INDEX($A132:$X132,MATCH(Lists!$F$3,$A$1:$X$1,0))&amp;""),""))</f>
        <v/>
      </c>
      <c r="AG132" s="21">
        <f>IF(AE132="","",IFERROR(TRIM(INDEX($A132:$X132,MATCH(Lists!$F$4,$A$1:$X$1,0))&amp;""),""))</f>
        <v/>
      </c>
      <c r="AH132" s="21">
        <f>IF(AE132="","",LOWER(IFERROR(TRIM(INDEX($A132:$X132,MATCH(Lists!$F$5,$A$1:$X$1,0))&amp;""),"")))</f>
        <v/>
      </c>
      <c r="AI132" s="21">
        <f>IF(AE132="","",IFERROR(TRIM(INDEX($A132:$X132,MATCH(Lists!$F$6,$A$1:$X$1,0))&amp;""),""))</f>
        <v/>
      </c>
      <c r="AJ132" s="21">
        <f>IF(AE132="","",IF(LEFT(IFERROR(TRIM(INDEX($A132:$X132,MATCH(Lists!$F$7,$A$1:$X$1,0))&amp;""),""),3)="Yes","Yes","No"))</f>
        <v/>
      </c>
      <c r="AK132" s="21">
        <f>IF(AE132="","",IFERROR(TRIM(INDEX($A132:$X132,MATCH(Lists!$F$8,$A$1:$X$1,0))&amp;""),""))</f>
        <v/>
      </c>
      <c r="AL132" s="21">
        <f>IF(AE132="","",IFERROR(IF(TRIM(INDEX($A132:$X132,MATCH(Lists!$F$9,$A$1:$X$1,0))&amp;"")="","",VALUE(TRIM(INDEX($A132:$X132,MATCH(Lists!$F$9,$A$1:$X$1,0))&amp;""))),""))</f>
        <v/>
      </c>
      <c r="AM132" s="21">
        <f>IF(AE132="","",IFERROR(TRIM(INDEX($A132:$X132,MATCH(Lists!$F$10,$A$1:$X$1,0))&amp;""),""))</f>
        <v/>
      </c>
      <c r="AN132" s="21">
        <f>IF(AE132="","",IF(OR(AM132="Paid",AM132="Partially refunded"),"Paid",IF(Z132="Yes","Paid (by hand)",IF(AM132&lt;&gt;"",AM132,"Unpaid"))))</f>
        <v/>
      </c>
      <c r="AO132" s="21">
        <f>IF(AD132=1,COUNTIFS($AE$2:$AE$301,"&lt;"&amp;AE132,$AD$2:$AD$301,1)+COUNTIF($AE$2:AE132,AE132),"")</f>
        <v/>
      </c>
    </row>
    <row r="133">
      <c r="Y133" s="19" t="n"/>
      <c r="Z133" s="22" t="n"/>
      <c r="AA133" s="22" t="n"/>
      <c r="AB133" s="22" t="n"/>
      <c r="AC133" s="19" t="n"/>
      <c r="AD133" s="21">
        <f>IF(AE133="",0,1)</f>
        <v/>
      </c>
      <c r="AE133" s="21">
        <f>IFERROR(TRIM(INDEX($A133:$X133,MATCH(Lists!$F$2,$A$1:$X$1,0))&amp;""),"")</f>
        <v/>
      </c>
      <c r="AF133" s="21">
        <f>IF(AE133="","",IFERROR(TRIM(INDEX($A133:$X133,MATCH(Lists!$F$3,$A$1:$X$1,0))&amp;""),""))</f>
        <v/>
      </c>
      <c r="AG133" s="21">
        <f>IF(AE133="","",IFERROR(TRIM(INDEX($A133:$X133,MATCH(Lists!$F$4,$A$1:$X$1,0))&amp;""),""))</f>
        <v/>
      </c>
      <c r="AH133" s="21">
        <f>IF(AE133="","",LOWER(IFERROR(TRIM(INDEX($A133:$X133,MATCH(Lists!$F$5,$A$1:$X$1,0))&amp;""),"")))</f>
        <v/>
      </c>
      <c r="AI133" s="21">
        <f>IF(AE133="","",IFERROR(TRIM(INDEX($A133:$X133,MATCH(Lists!$F$6,$A$1:$X$1,0))&amp;""),""))</f>
        <v/>
      </c>
      <c r="AJ133" s="21">
        <f>IF(AE133="","",IF(LEFT(IFERROR(TRIM(INDEX($A133:$X133,MATCH(Lists!$F$7,$A$1:$X$1,0))&amp;""),""),3)="Yes","Yes","No"))</f>
        <v/>
      </c>
      <c r="AK133" s="21">
        <f>IF(AE133="","",IFERROR(TRIM(INDEX($A133:$X133,MATCH(Lists!$F$8,$A$1:$X$1,0))&amp;""),""))</f>
        <v/>
      </c>
      <c r="AL133" s="21">
        <f>IF(AE133="","",IFERROR(IF(TRIM(INDEX($A133:$X133,MATCH(Lists!$F$9,$A$1:$X$1,0))&amp;"")="","",VALUE(TRIM(INDEX($A133:$X133,MATCH(Lists!$F$9,$A$1:$X$1,0))&amp;""))),""))</f>
        <v/>
      </c>
      <c r="AM133" s="21">
        <f>IF(AE133="","",IFERROR(TRIM(INDEX($A133:$X133,MATCH(Lists!$F$10,$A$1:$X$1,0))&amp;""),""))</f>
        <v/>
      </c>
      <c r="AN133" s="21">
        <f>IF(AE133="","",IF(OR(AM133="Paid",AM133="Partially refunded"),"Paid",IF(Z133="Yes","Paid (by hand)",IF(AM133&lt;&gt;"",AM133,"Unpaid"))))</f>
        <v/>
      </c>
      <c r="AO133" s="21">
        <f>IF(AD133=1,COUNTIFS($AE$2:$AE$301,"&lt;"&amp;AE133,$AD$2:$AD$301,1)+COUNTIF($AE$2:AE133,AE133),"")</f>
        <v/>
      </c>
    </row>
    <row r="134">
      <c r="Y134" s="19" t="n"/>
      <c r="Z134" s="22" t="n"/>
      <c r="AA134" s="22" t="n"/>
      <c r="AB134" s="22" t="n"/>
      <c r="AC134" s="19" t="n"/>
      <c r="AD134" s="21">
        <f>IF(AE134="",0,1)</f>
        <v/>
      </c>
      <c r="AE134" s="21">
        <f>IFERROR(TRIM(INDEX($A134:$X134,MATCH(Lists!$F$2,$A$1:$X$1,0))&amp;""),"")</f>
        <v/>
      </c>
      <c r="AF134" s="21">
        <f>IF(AE134="","",IFERROR(TRIM(INDEX($A134:$X134,MATCH(Lists!$F$3,$A$1:$X$1,0))&amp;""),""))</f>
        <v/>
      </c>
      <c r="AG134" s="21">
        <f>IF(AE134="","",IFERROR(TRIM(INDEX($A134:$X134,MATCH(Lists!$F$4,$A$1:$X$1,0))&amp;""),""))</f>
        <v/>
      </c>
      <c r="AH134" s="21">
        <f>IF(AE134="","",LOWER(IFERROR(TRIM(INDEX($A134:$X134,MATCH(Lists!$F$5,$A$1:$X$1,0))&amp;""),"")))</f>
        <v/>
      </c>
      <c r="AI134" s="21">
        <f>IF(AE134="","",IFERROR(TRIM(INDEX($A134:$X134,MATCH(Lists!$F$6,$A$1:$X$1,0))&amp;""),""))</f>
        <v/>
      </c>
      <c r="AJ134" s="21">
        <f>IF(AE134="","",IF(LEFT(IFERROR(TRIM(INDEX($A134:$X134,MATCH(Lists!$F$7,$A$1:$X$1,0))&amp;""),""),3)="Yes","Yes","No"))</f>
        <v/>
      </c>
      <c r="AK134" s="21">
        <f>IF(AE134="","",IFERROR(TRIM(INDEX($A134:$X134,MATCH(Lists!$F$8,$A$1:$X$1,0))&amp;""),""))</f>
        <v/>
      </c>
      <c r="AL134" s="21">
        <f>IF(AE134="","",IFERROR(IF(TRIM(INDEX($A134:$X134,MATCH(Lists!$F$9,$A$1:$X$1,0))&amp;"")="","",VALUE(TRIM(INDEX($A134:$X134,MATCH(Lists!$F$9,$A$1:$X$1,0))&amp;""))),""))</f>
        <v/>
      </c>
      <c r="AM134" s="21">
        <f>IF(AE134="","",IFERROR(TRIM(INDEX($A134:$X134,MATCH(Lists!$F$10,$A$1:$X$1,0))&amp;""),""))</f>
        <v/>
      </c>
      <c r="AN134" s="21">
        <f>IF(AE134="","",IF(OR(AM134="Paid",AM134="Partially refunded"),"Paid",IF(Z134="Yes","Paid (by hand)",IF(AM134&lt;&gt;"",AM134,"Unpaid"))))</f>
        <v/>
      </c>
      <c r="AO134" s="21">
        <f>IF(AD134=1,COUNTIFS($AE$2:$AE$301,"&lt;"&amp;AE134,$AD$2:$AD$301,1)+COUNTIF($AE$2:AE134,AE134),"")</f>
        <v/>
      </c>
    </row>
    <row r="135">
      <c r="Y135" s="19" t="n"/>
      <c r="Z135" s="22" t="n"/>
      <c r="AA135" s="22" t="n"/>
      <c r="AB135" s="22" t="n"/>
      <c r="AC135" s="19" t="n"/>
      <c r="AD135" s="21">
        <f>IF(AE135="",0,1)</f>
        <v/>
      </c>
      <c r="AE135" s="21">
        <f>IFERROR(TRIM(INDEX($A135:$X135,MATCH(Lists!$F$2,$A$1:$X$1,0))&amp;""),"")</f>
        <v/>
      </c>
      <c r="AF135" s="21">
        <f>IF(AE135="","",IFERROR(TRIM(INDEX($A135:$X135,MATCH(Lists!$F$3,$A$1:$X$1,0))&amp;""),""))</f>
        <v/>
      </c>
      <c r="AG135" s="21">
        <f>IF(AE135="","",IFERROR(TRIM(INDEX($A135:$X135,MATCH(Lists!$F$4,$A$1:$X$1,0))&amp;""),""))</f>
        <v/>
      </c>
      <c r="AH135" s="21">
        <f>IF(AE135="","",LOWER(IFERROR(TRIM(INDEX($A135:$X135,MATCH(Lists!$F$5,$A$1:$X$1,0))&amp;""),"")))</f>
        <v/>
      </c>
      <c r="AI135" s="21">
        <f>IF(AE135="","",IFERROR(TRIM(INDEX($A135:$X135,MATCH(Lists!$F$6,$A$1:$X$1,0))&amp;""),""))</f>
        <v/>
      </c>
      <c r="AJ135" s="21">
        <f>IF(AE135="","",IF(LEFT(IFERROR(TRIM(INDEX($A135:$X135,MATCH(Lists!$F$7,$A$1:$X$1,0))&amp;""),""),3)="Yes","Yes","No"))</f>
        <v/>
      </c>
      <c r="AK135" s="21">
        <f>IF(AE135="","",IFERROR(TRIM(INDEX($A135:$X135,MATCH(Lists!$F$8,$A$1:$X$1,0))&amp;""),""))</f>
        <v/>
      </c>
      <c r="AL135" s="21">
        <f>IF(AE135="","",IFERROR(IF(TRIM(INDEX($A135:$X135,MATCH(Lists!$F$9,$A$1:$X$1,0))&amp;"")="","",VALUE(TRIM(INDEX($A135:$X135,MATCH(Lists!$F$9,$A$1:$X$1,0))&amp;""))),""))</f>
        <v/>
      </c>
      <c r="AM135" s="21">
        <f>IF(AE135="","",IFERROR(TRIM(INDEX($A135:$X135,MATCH(Lists!$F$10,$A$1:$X$1,0))&amp;""),""))</f>
        <v/>
      </c>
      <c r="AN135" s="21">
        <f>IF(AE135="","",IF(OR(AM135="Paid",AM135="Partially refunded"),"Paid",IF(Z135="Yes","Paid (by hand)",IF(AM135&lt;&gt;"",AM135,"Unpaid"))))</f>
        <v/>
      </c>
      <c r="AO135" s="21">
        <f>IF(AD135=1,COUNTIFS($AE$2:$AE$301,"&lt;"&amp;AE135,$AD$2:$AD$301,1)+COUNTIF($AE$2:AE135,AE135),"")</f>
        <v/>
      </c>
    </row>
    <row r="136">
      <c r="Y136" s="19" t="n"/>
      <c r="Z136" s="22" t="n"/>
      <c r="AA136" s="22" t="n"/>
      <c r="AB136" s="22" t="n"/>
      <c r="AC136" s="19" t="n"/>
      <c r="AD136" s="21">
        <f>IF(AE136="",0,1)</f>
        <v/>
      </c>
      <c r="AE136" s="21">
        <f>IFERROR(TRIM(INDEX($A136:$X136,MATCH(Lists!$F$2,$A$1:$X$1,0))&amp;""),"")</f>
        <v/>
      </c>
      <c r="AF136" s="21">
        <f>IF(AE136="","",IFERROR(TRIM(INDEX($A136:$X136,MATCH(Lists!$F$3,$A$1:$X$1,0))&amp;""),""))</f>
        <v/>
      </c>
      <c r="AG136" s="21">
        <f>IF(AE136="","",IFERROR(TRIM(INDEX($A136:$X136,MATCH(Lists!$F$4,$A$1:$X$1,0))&amp;""),""))</f>
        <v/>
      </c>
      <c r="AH136" s="21">
        <f>IF(AE136="","",LOWER(IFERROR(TRIM(INDEX($A136:$X136,MATCH(Lists!$F$5,$A$1:$X$1,0))&amp;""),"")))</f>
        <v/>
      </c>
      <c r="AI136" s="21">
        <f>IF(AE136="","",IFERROR(TRIM(INDEX($A136:$X136,MATCH(Lists!$F$6,$A$1:$X$1,0))&amp;""),""))</f>
        <v/>
      </c>
      <c r="AJ136" s="21">
        <f>IF(AE136="","",IF(LEFT(IFERROR(TRIM(INDEX($A136:$X136,MATCH(Lists!$F$7,$A$1:$X$1,0))&amp;""),""),3)="Yes","Yes","No"))</f>
        <v/>
      </c>
      <c r="AK136" s="21">
        <f>IF(AE136="","",IFERROR(TRIM(INDEX($A136:$X136,MATCH(Lists!$F$8,$A$1:$X$1,0))&amp;""),""))</f>
        <v/>
      </c>
      <c r="AL136" s="21">
        <f>IF(AE136="","",IFERROR(IF(TRIM(INDEX($A136:$X136,MATCH(Lists!$F$9,$A$1:$X$1,0))&amp;"")="","",VALUE(TRIM(INDEX($A136:$X136,MATCH(Lists!$F$9,$A$1:$X$1,0))&amp;""))),""))</f>
        <v/>
      </c>
      <c r="AM136" s="21">
        <f>IF(AE136="","",IFERROR(TRIM(INDEX($A136:$X136,MATCH(Lists!$F$10,$A$1:$X$1,0))&amp;""),""))</f>
        <v/>
      </c>
      <c r="AN136" s="21">
        <f>IF(AE136="","",IF(OR(AM136="Paid",AM136="Partially refunded"),"Paid",IF(Z136="Yes","Paid (by hand)",IF(AM136&lt;&gt;"",AM136,"Unpaid"))))</f>
        <v/>
      </c>
      <c r="AO136" s="21">
        <f>IF(AD136=1,COUNTIFS($AE$2:$AE$301,"&lt;"&amp;AE136,$AD$2:$AD$301,1)+COUNTIF($AE$2:AE136,AE136),"")</f>
        <v/>
      </c>
    </row>
    <row r="137">
      <c r="Y137" s="19" t="n"/>
      <c r="Z137" s="22" t="n"/>
      <c r="AA137" s="22" t="n"/>
      <c r="AB137" s="22" t="n"/>
      <c r="AC137" s="19" t="n"/>
      <c r="AD137" s="21">
        <f>IF(AE137="",0,1)</f>
        <v/>
      </c>
      <c r="AE137" s="21">
        <f>IFERROR(TRIM(INDEX($A137:$X137,MATCH(Lists!$F$2,$A$1:$X$1,0))&amp;""),"")</f>
        <v/>
      </c>
      <c r="AF137" s="21">
        <f>IF(AE137="","",IFERROR(TRIM(INDEX($A137:$X137,MATCH(Lists!$F$3,$A$1:$X$1,0))&amp;""),""))</f>
        <v/>
      </c>
      <c r="AG137" s="21">
        <f>IF(AE137="","",IFERROR(TRIM(INDEX($A137:$X137,MATCH(Lists!$F$4,$A$1:$X$1,0))&amp;""),""))</f>
        <v/>
      </c>
      <c r="AH137" s="21">
        <f>IF(AE137="","",LOWER(IFERROR(TRIM(INDEX($A137:$X137,MATCH(Lists!$F$5,$A$1:$X$1,0))&amp;""),"")))</f>
        <v/>
      </c>
      <c r="AI137" s="21">
        <f>IF(AE137="","",IFERROR(TRIM(INDEX($A137:$X137,MATCH(Lists!$F$6,$A$1:$X$1,0))&amp;""),""))</f>
        <v/>
      </c>
      <c r="AJ137" s="21">
        <f>IF(AE137="","",IF(LEFT(IFERROR(TRIM(INDEX($A137:$X137,MATCH(Lists!$F$7,$A$1:$X$1,0))&amp;""),""),3)="Yes","Yes","No"))</f>
        <v/>
      </c>
      <c r="AK137" s="21">
        <f>IF(AE137="","",IFERROR(TRIM(INDEX($A137:$X137,MATCH(Lists!$F$8,$A$1:$X$1,0))&amp;""),""))</f>
        <v/>
      </c>
      <c r="AL137" s="21">
        <f>IF(AE137="","",IFERROR(IF(TRIM(INDEX($A137:$X137,MATCH(Lists!$F$9,$A$1:$X$1,0))&amp;"")="","",VALUE(TRIM(INDEX($A137:$X137,MATCH(Lists!$F$9,$A$1:$X$1,0))&amp;""))),""))</f>
        <v/>
      </c>
      <c r="AM137" s="21">
        <f>IF(AE137="","",IFERROR(TRIM(INDEX($A137:$X137,MATCH(Lists!$F$10,$A$1:$X$1,0))&amp;""),""))</f>
        <v/>
      </c>
      <c r="AN137" s="21">
        <f>IF(AE137="","",IF(OR(AM137="Paid",AM137="Partially refunded"),"Paid",IF(Z137="Yes","Paid (by hand)",IF(AM137&lt;&gt;"",AM137,"Unpaid"))))</f>
        <v/>
      </c>
      <c r="AO137" s="21">
        <f>IF(AD137=1,COUNTIFS($AE$2:$AE$301,"&lt;"&amp;AE137,$AD$2:$AD$301,1)+COUNTIF($AE$2:AE137,AE137),"")</f>
        <v/>
      </c>
    </row>
    <row r="138">
      <c r="Y138" s="19" t="n"/>
      <c r="Z138" s="22" t="n"/>
      <c r="AA138" s="22" t="n"/>
      <c r="AB138" s="22" t="n"/>
      <c r="AC138" s="19" t="n"/>
      <c r="AD138" s="21">
        <f>IF(AE138="",0,1)</f>
        <v/>
      </c>
      <c r="AE138" s="21">
        <f>IFERROR(TRIM(INDEX($A138:$X138,MATCH(Lists!$F$2,$A$1:$X$1,0))&amp;""),"")</f>
        <v/>
      </c>
      <c r="AF138" s="21">
        <f>IF(AE138="","",IFERROR(TRIM(INDEX($A138:$X138,MATCH(Lists!$F$3,$A$1:$X$1,0))&amp;""),""))</f>
        <v/>
      </c>
      <c r="AG138" s="21">
        <f>IF(AE138="","",IFERROR(TRIM(INDEX($A138:$X138,MATCH(Lists!$F$4,$A$1:$X$1,0))&amp;""),""))</f>
        <v/>
      </c>
      <c r="AH138" s="21">
        <f>IF(AE138="","",LOWER(IFERROR(TRIM(INDEX($A138:$X138,MATCH(Lists!$F$5,$A$1:$X$1,0))&amp;""),"")))</f>
        <v/>
      </c>
      <c r="AI138" s="21">
        <f>IF(AE138="","",IFERROR(TRIM(INDEX($A138:$X138,MATCH(Lists!$F$6,$A$1:$X$1,0))&amp;""),""))</f>
        <v/>
      </c>
      <c r="AJ138" s="21">
        <f>IF(AE138="","",IF(LEFT(IFERROR(TRIM(INDEX($A138:$X138,MATCH(Lists!$F$7,$A$1:$X$1,0))&amp;""),""),3)="Yes","Yes","No"))</f>
        <v/>
      </c>
      <c r="AK138" s="21">
        <f>IF(AE138="","",IFERROR(TRIM(INDEX($A138:$X138,MATCH(Lists!$F$8,$A$1:$X$1,0))&amp;""),""))</f>
        <v/>
      </c>
      <c r="AL138" s="21">
        <f>IF(AE138="","",IFERROR(IF(TRIM(INDEX($A138:$X138,MATCH(Lists!$F$9,$A$1:$X$1,0))&amp;"")="","",VALUE(TRIM(INDEX($A138:$X138,MATCH(Lists!$F$9,$A$1:$X$1,0))&amp;""))),""))</f>
        <v/>
      </c>
      <c r="AM138" s="21">
        <f>IF(AE138="","",IFERROR(TRIM(INDEX($A138:$X138,MATCH(Lists!$F$10,$A$1:$X$1,0))&amp;""),""))</f>
        <v/>
      </c>
      <c r="AN138" s="21">
        <f>IF(AE138="","",IF(OR(AM138="Paid",AM138="Partially refunded"),"Paid",IF(Z138="Yes","Paid (by hand)",IF(AM138&lt;&gt;"",AM138,"Unpaid"))))</f>
        <v/>
      </c>
      <c r="AO138" s="21">
        <f>IF(AD138=1,COUNTIFS($AE$2:$AE$301,"&lt;"&amp;AE138,$AD$2:$AD$301,1)+COUNTIF($AE$2:AE138,AE138),"")</f>
        <v/>
      </c>
    </row>
    <row r="139">
      <c r="Y139" s="19" t="n"/>
      <c r="Z139" s="22" t="n"/>
      <c r="AA139" s="22" t="n"/>
      <c r="AB139" s="22" t="n"/>
      <c r="AC139" s="19" t="n"/>
      <c r="AD139" s="21">
        <f>IF(AE139="",0,1)</f>
        <v/>
      </c>
      <c r="AE139" s="21">
        <f>IFERROR(TRIM(INDEX($A139:$X139,MATCH(Lists!$F$2,$A$1:$X$1,0))&amp;""),"")</f>
        <v/>
      </c>
      <c r="AF139" s="21">
        <f>IF(AE139="","",IFERROR(TRIM(INDEX($A139:$X139,MATCH(Lists!$F$3,$A$1:$X$1,0))&amp;""),""))</f>
        <v/>
      </c>
      <c r="AG139" s="21">
        <f>IF(AE139="","",IFERROR(TRIM(INDEX($A139:$X139,MATCH(Lists!$F$4,$A$1:$X$1,0))&amp;""),""))</f>
        <v/>
      </c>
      <c r="AH139" s="21">
        <f>IF(AE139="","",LOWER(IFERROR(TRIM(INDEX($A139:$X139,MATCH(Lists!$F$5,$A$1:$X$1,0))&amp;""),"")))</f>
        <v/>
      </c>
      <c r="AI139" s="21">
        <f>IF(AE139="","",IFERROR(TRIM(INDEX($A139:$X139,MATCH(Lists!$F$6,$A$1:$X$1,0))&amp;""),""))</f>
        <v/>
      </c>
      <c r="AJ139" s="21">
        <f>IF(AE139="","",IF(LEFT(IFERROR(TRIM(INDEX($A139:$X139,MATCH(Lists!$F$7,$A$1:$X$1,0))&amp;""),""),3)="Yes","Yes","No"))</f>
        <v/>
      </c>
      <c r="AK139" s="21">
        <f>IF(AE139="","",IFERROR(TRIM(INDEX($A139:$X139,MATCH(Lists!$F$8,$A$1:$X$1,0))&amp;""),""))</f>
        <v/>
      </c>
      <c r="AL139" s="21">
        <f>IF(AE139="","",IFERROR(IF(TRIM(INDEX($A139:$X139,MATCH(Lists!$F$9,$A$1:$X$1,0))&amp;"")="","",VALUE(TRIM(INDEX($A139:$X139,MATCH(Lists!$F$9,$A$1:$X$1,0))&amp;""))),""))</f>
        <v/>
      </c>
      <c r="AM139" s="21">
        <f>IF(AE139="","",IFERROR(TRIM(INDEX($A139:$X139,MATCH(Lists!$F$10,$A$1:$X$1,0))&amp;""),""))</f>
        <v/>
      </c>
      <c r="AN139" s="21">
        <f>IF(AE139="","",IF(OR(AM139="Paid",AM139="Partially refunded"),"Paid",IF(Z139="Yes","Paid (by hand)",IF(AM139&lt;&gt;"",AM139,"Unpaid"))))</f>
        <v/>
      </c>
      <c r="AO139" s="21">
        <f>IF(AD139=1,COUNTIFS($AE$2:$AE$301,"&lt;"&amp;AE139,$AD$2:$AD$301,1)+COUNTIF($AE$2:AE139,AE139),"")</f>
        <v/>
      </c>
    </row>
    <row r="140">
      <c r="Y140" s="19" t="n"/>
      <c r="Z140" s="22" t="n"/>
      <c r="AA140" s="22" t="n"/>
      <c r="AB140" s="22" t="n"/>
      <c r="AC140" s="19" t="n"/>
      <c r="AD140" s="21">
        <f>IF(AE140="",0,1)</f>
        <v/>
      </c>
      <c r="AE140" s="21">
        <f>IFERROR(TRIM(INDEX($A140:$X140,MATCH(Lists!$F$2,$A$1:$X$1,0))&amp;""),"")</f>
        <v/>
      </c>
      <c r="AF140" s="21">
        <f>IF(AE140="","",IFERROR(TRIM(INDEX($A140:$X140,MATCH(Lists!$F$3,$A$1:$X$1,0))&amp;""),""))</f>
        <v/>
      </c>
      <c r="AG140" s="21">
        <f>IF(AE140="","",IFERROR(TRIM(INDEX($A140:$X140,MATCH(Lists!$F$4,$A$1:$X$1,0))&amp;""),""))</f>
        <v/>
      </c>
      <c r="AH140" s="21">
        <f>IF(AE140="","",LOWER(IFERROR(TRIM(INDEX($A140:$X140,MATCH(Lists!$F$5,$A$1:$X$1,0))&amp;""),"")))</f>
        <v/>
      </c>
      <c r="AI140" s="21">
        <f>IF(AE140="","",IFERROR(TRIM(INDEX($A140:$X140,MATCH(Lists!$F$6,$A$1:$X$1,0))&amp;""),""))</f>
        <v/>
      </c>
      <c r="AJ140" s="21">
        <f>IF(AE140="","",IF(LEFT(IFERROR(TRIM(INDEX($A140:$X140,MATCH(Lists!$F$7,$A$1:$X$1,0))&amp;""),""),3)="Yes","Yes","No"))</f>
        <v/>
      </c>
      <c r="AK140" s="21">
        <f>IF(AE140="","",IFERROR(TRIM(INDEX($A140:$X140,MATCH(Lists!$F$8,$A$1:$X$1,0))&amp;""),""))</f>
        <v/>
      </c>
      <c r="AL140" s="21">
        <f>IF(AE140="","",IFERROR(IF(TRIM(INDEX($A140:$X140,MATCH(Lists!$F$9,$A$1:$X$1,0))&amp;"")="","",VALUE(TRIM(INDEX($A140:$X140,MATCH(Lists!$F$9,$A$1:$X$1,0))&amp;""))),""))</f>
        <v/>
      </c>
      <c r="AM140" s="21">
        <f>IF(AE140="","",IFERROR(TRIM(INDEX($A140:$X140,MATCH(Lists!$F$10,$A$1:$X$1,0))&amp;""),""))</f>
        <v/>
      </c>
      <c r="AN140" s="21">
        <f>IF(AE140="","",IF(OR(AM140="Paid",AM140="Partially refunded"),"Paid",IF(Z140="Yes","Paid (by hand)",IF(AM140&lt;&gt;"",AM140,"Unpaid"))))</f>
        <v/>
      </c>
      <c r="AO140" s="21">
        <f>IF(AD140=1,COUNTIFS($AE$2:$AE$301,"&lt;"&amp;AE140,$AD$2:$AD$301,1)+COUNTIF($AE$2:AE140,AE140),"")</f>
        <v/>
      </c>
    </row>
    <row r="141">
      <c r="Y141" s="19" t="n"/>
      <c r="Z141" s="22" t="n"/>
      <c r="AA141" s="22" t="n"/>
      <c r="AB141" s="22" t="n"/>
      <c r="AC141" s="19" t="n"/>
      <c r="AD141" s="21">
        <f>IF(AE141="",0,1)</f>
        <v/>
      </c>
      <c r="AE141" s="21">
        <f>IFERROR(TRIM(INDEX($A141:$X141,MATCH(Lists!$F$2,$A$1:$X$1,0))&amp;""),"")</f>
        <v/>
      </c>
      <c r="AF141" s="21">
        <f>IF(AE141="","",IFERROR(TRIM(INDEX($A141:$X141,MATCH(Lists!$F$3,$A$1:$X$1,0))&amp;""),""))</f>
        <v/>
      </c>
      <c r="AG141" s="21">
        <f>IF(AE141="","",IFERROR(TRIM(INDEX($A141:$X141,MATCH(Lists!$F$4,$A$1:$X$1,0))&amp;""),""))</f>
        <v/>
      </c>
      <c r="AH141" s="21">
        <f>IF(AE141="","",LOWER(IFERROR(TRIM(INDEX($A141:$X141,MATCH(Lists!$F$5,$A$1:$X$1,0))&amp;""),"")))</f>
        <v/>
      </c>
      <c r="AI141" s="21">
        <f>IF(AE141="","",IFERROR(TRIM(INDEX($A141:$X141,MATCH(Lists!$F$6,$A$1:$X$1,0))&amp;""),""))</f>
        <v/>
      </c>
      <c r="AJ141" s="21">
        <f>IF(AE141="","",IF(LEFT(IFERROR(TRIM(INDEX($A141:$X141,MATCH(Lists!$F$7,$A$1:$X$1,0))&amp;""),""),3)="Yes","Yes","No"))</f>
        <v/>
      </c>
      <c r="AK141" s="21">
        <f>IF(AE141="","",IFERROR(TRIM(INDEX($A141:$X141,MATCH(Lists!$F$8,$A$1:$X$1,0))&amp;""),""))</f>
        <v/>
      </c>
      <c r="AL141" s="21">
        <f>IF(AE141="","",IFERROR(IF(TRIM(INDEX($A141:$X141,MATCH(Lists!$F$9,$A$1:$X$1,0))&amp;"")="","",VALUE(TRIM(INDEX($A141:$X141,MATCH(Lists!$F$9,$A$1:$X$1,0))&amp;""))),""))</f>
        <v/>
      </c>
      <c r="AM141" s="21">
        <f>IF(AE141="","",IFERROR(TRIM(INDEX($A141:$X141,MATCH(Lists!$F$10,$A$1:$X$1,0))&amp;""),""))</f>
        <v/>
      </c>
      <c r="AN141" s="21">
        <f>IF(AE141="","",IF(OR(AM141="Paid",AM141="Partially refunded"),"Paid",IF(Z141="Yes","Paid (by hand)",IF(AM141&lt;&gt;"",AM141,"Unpaid"))))</f>
        <v/>
      </c>
      <c r="AO141" s="21">
        <f>IF(AD141=1,COUNTIFS($AE$2:$AE$301,"&lt;"&amp;AE141,$AD$2:$AD$301,1)+COUNTIF($AE$2:AE141,AE141),"")</f>
        <v/>
      </c>
    </row>
    <row r="142">
      <c r="Y142" s="19" t="n"/>
      <c r="Z142" s="22" t="n"/>
      <c r="AA142" s="22" t="n"/>
      <c r="AB142" s="22" t="n"/>
      <c r="AC142" s="19" t="n"/>
      <c r="AD142" s="21">
        <f>IF(AE142="",0,1)</f>
        <v/>
      </c>
      <c r="AE142" s="21">
        <f>IFERROR(TRIM(INDEX($A142:$X142,MATCH(Lists!$F$2,$A$1:$X$1,0))&amp;""),"")</f>
        <v/>
      </c>
      <c r="AF142" s="21">
        <f>IF(AE142="","",IFERROR(TRIM(INDEX($A142:$X142,MATCH(Lists!$F$3,$A$1:$X$1,0))&amp;""),""))</f>
        <v/>
      </c>
      <c r="AG142" s="21">
        <f>IF(AE142="","",IFERROR(TRIM(INDEX($A142:$X142,MATCH(Lists!$F$4,$A$1:$X$1,0))&amp;""),""))</f>
        <v/>
      </c>
      <c r="AH142" s="21">
        <f>IF(AE142="","",LOWER(IFERROR(TRIM(INDEX($A142:$X142,MATCH(Lists!$F$5,$A$1:$X$1,0))&amp;""),"")))</f>
        <v/>
      </c>
      <c r="AI142" s="21">
        <f>IF(AE142="","",IFERROR(TRIM(INDEX($A142:$X142,MATCH(Lists!$F$6,$A$1:$X$1,0))&amp;""),""))</f>
        <v/>
      </c>
      <c r="AJ142" s="21">
        <f>IF(AE142="","",IF(LEFT(IFERROR(TRIM(INDEX($A142:$X142,MATCH(Lists!$F$7,$A$1:$X$1,0))&amp;""),""),3)="Yes","Yes","No"))</f>
        <v/>
      </c>
      <c r="AK142" s="21">
        <f>IF(AE142="","",IFERROR(TRIM(INDEX($A142:$X142,MATCH(Lists!$F$8,$A$1:$X$1,0))&amp;""),""))</f>
        <v/>
      </c>
      <c r="AL142" s="21">
        <f>IF(AE142="","",IFERROR(IF(TRIM(INDEX($A142:$X142,MATCH(Lists!$F$9,$A$1:$X$1,0))&amp;"")="","",VALUE(TRIM(INDEX($A142:$X142,MATCH(Lists!$F$9,$A$1:$X$1,0))&amp;""))),""))</f>
        <v/>
      </c>
      <c r="AM142" s="21">
        <f>IF(AE142="","",IFERROR(TRIM(INDEX($A142:$X142,MATCH(Lists!$F$10,$A$1:$X$1,0))&amp;""),""))</f>
        <v/>
      </c>
      <c r="AN142" s="21">
        <f>IF(AE142="","",IF(OR(AM142="Paid",AM142="Partially refunded"),"Paid",IF(Z142="Yes","Paid (by hand)",IF(AM142&lt;&gt;"",AM142,"Unpaid"))))</f>
        <v/>
      </c>
      <c r="AO142" s="21">
        <f>IF(AD142=1,COUNTIFS($AE$2:$AE$301,"&lt;"&amp;AE142,$AD$2:$AD$301,1)+COUNTIF($AE$2:AE142,AE142),"")</f>
        <v/>
      </c>
    </row>
    <row r="143">
      <c r="Y143" s="19" t="n"/>
      <c r="Z143" s="22" t="n"/>
      <c r="AA143" s="22" t="n"/>
      <c r="AB143" s="22" t="n"/>
      <c r="AC143" s="19" t="n"/>
      <c r="AD143" s="21">
        <f>IF(AE143="",0,1)</f>
        <v/>
      </c>
      <c r="AE143" s="21">
        <f>IFERROR(TRIM(INDEX($A143:$X143,MATCH(Lists!$F$2,$A$1:$X$1,0))&amp;""),"")</f>
        <v/>
      </c>
      <c r="AF143" s="21">
        <f>IF(AE143="","",IFERROR(TRIM(INDEX($A143:$X143,MATCH(Lists!$F$3,$A$1:$X$1,0))&amp;""),""))</f>
        <v/>
      </c>
      <c r="AG143" s="21">
        <f>IF(AE143="","",IFERROR(TRIM(INDEX($A143:$X143,MATCH(Lists!$F$4,$A$1:$X$1,0))&amp;""),""))</f>
        <v/>
      </c>
      <c r="AH143" s="21">
        <f>IF(AE143="","",LOWER(IFERROR(TRIM(INDEX($A143:$X143,MATCH(Lists!$F$5,$A$1:$X$1,0))&amp;""),"")))</f>
        <v/>
      </c>
      <c r="AI143" s="21">
        <f>IF(AE143="","",IFERROR(TRIM(INDEX($A143:$X143,MATCH(Lists!$F$6,$A$1:$X$1,0))&amp;""),""))</f>
        <v/>
      </c>
      <c r="AJ143" s="21">
        <f>IF(AE143="","",IF(LEFT(IFERROR(TRIM(INDEX($A143:$X143,MATCH(Lists!$F$7,$A$1:$X$1,0))&amp;""),""),3)="Yes","Yes","No"))</f>
        <v/>
      </c>
      <c r="AK143" s="21">
        <f>IF(AE143="","",IFERROR(TRIM(INDEX($A143:$X143,MATCH(Lists!$F$8,$A$1:$X$1,0))&amp;""),""))</f>
        <v/>
      </c>
      <c r="AL143" s="21">
        <f>IF(AE143="","",IFERROR(IF(TRIM(INDEX($A143:$X143,MATCH(Lists!$F$9,$A$1:$X$1,0))&amp;"")="","",VALUE(TRIM(INDEX($A143:$X143,MATCH(Lists!$F$9,$A$1:$X$1,0))&amp;""))),""))</f>
        <v/>
      </c>
      <c r="AM143" s="21">
        <f>IF(AE143="","",IFERROR(TRIM(INDEX($A143:$X143,MATCH(Lists!$F$10,$A$1:$X$1,0))&amp;""),""))</f>
        <v/>
      </c>
      <c r="AN143" s="21">
        <f>IF(AE143="","",IF(OR(AM143="Paid",AM143="Partially refunded"),"Paid",IF(Z143="Yes","Paid (by hand)",IF(AM143&lt;&gt;"",AM143,"Unpaid"))))</f>
        <v/>
      </c>
      <c r="AO143" s="21">
        <f>IF(AD143=1,COUNTIFS($AE$2:$AE$301,"&lt;"&amp;AE143,$AD$2:$AD$301,1)+COUNTIF($AE$2:AE143,AE143),"")</f>
        <v/>
      </c>
    </row>
    <row r="144">
      <c r="Y144" s="19" t="n"/>
      <c r="Z144" s="22" t="n"/>
      <c r="AA144" s="22" t="n"/>
      <c r="AB144" s="22" t="n"/>
      <c r="AC144" s="19" t="n"/>
      <c r="AD144" s="21">
        <f>IF(AE144="",0,1)</f>
        <v/>
      </c>
      <c r="AE144" s="21">
        <f>IFERROR(TRIM(INDEX($A144:$X144,MATCH(Lists!$F$2,$A$1:$X$1,0))&amp;""),"")</f>
        <v/>
      </c>
      <c r="AF144" s="21">
        <f>IF(AE144="","",IFERROR(TRIM(INDEX($A144:$X144,MATCH(Lists!$F$3,$A$1:$X$1,0))&amp;""),""))</f>
        <v/>
      </c>
      <c r="AG144" s="21">
        <f>IF(AE144="","",IFERROR(TRIM(INDEX($A144:$X144,MATCH(Lists!$F$4,$A$1:$X$1,0))&amp;""),""))</f>
        <v/>
      </c>
      <c r="AH144" s="21">
        <f>IF(AE144="","",LOWER(IFERROR(TRIM(INDEX($A144:$X144,MATCH(Lists!$F$5,$A$1:$X$1,0))&amp;""),"")))</f>
        <v/>
      </c>
      <c r="AI144" s="21">
        <f>IF(AE144="","",IFERROR(TRIM(INDEX($A144:$X144,MATCH(Lists!$F$6,$A$1:$X$1,0))&amp;""),""))</f>
        <v/>
      </c>
      <c r="AJ144" s="21">
        <f>IF(AE144="","",IF(LEFT(IFERROR(TRIM(INDEX($A144:$X144,MATCH(Lists!$F$7,$A$1:$X$1,0))&amp;""),""),3)="Yes","Yes","No"))</f>
        <v/>
      </c>
      <c r="AK144" s="21">
        <f>IF(AE144="","",IFERROR(TRIM(INDEX($A144:$X144,MATCH(Lists!$F$8,$A$1:$X$1,0))&amp;""),""))</f>
        <v/>
      </c>
      <c r="AL144" s="21">
        <f>IF(AE144="","",IFERROR(IF(TRIM(INDEX($A144:$X144,MATCH(Lists!$F$9,$A$1:$X$1,0))&amp;"")="","",VALUE(TRIM(INDEX($A144:$X144,MATCH(Lists!$F$9,$A$1:$X$1,0))&amp;""))),""))</f>
        <v/>
      </c>
      <c r="AM144" s="21">
        <f>IF(AE144="","",IFERROR(TRIM(INDEX($A144:$X144,MATCH(Lists!$F$10,$A$1:$X$1,0))&amp;""),""))</f>
        <v/>
      </c>
      <c r="AN144" s="21">
        <f>IF(AE144="","",IF(OR(AM144="Paid",AM144="Partially refunded"),"Paid",IF(Z144="Yes","Paid (by hand)",IF(AM144&lt;&gt;"",AM144,"Unpaid"))))</f>
        <v/>
      </c>
      <c r="AO144" s="21">
        <f>IF(AD144=1,COUNTIFS($AE$2:$AE$301,"&lt;"&amp;AE144,$AD$2:$AD$301,1)+COUNTIF($AE$2:AE144,AE144),"")</f>
        <v/>
      </c>
    </row>
    <row r="145">
      <c r="Y145" s="19" t="n"/>
      <c r="Z145" s="22" t="n"/>
      <c r="AA145" s="22" t="n"/>
      <c r="AB145" s="22" t="n"/>
      <c r="AC145" s="19" t="n"/>
      <c r="AD145" s="21">
        <f>IF(AE145="",0,1)</f>
        <v/>
      </c>
      <c r="AE145" s="21">
        <f>IFERROR(TRIM(INDEX($A145:$X145,MATCH(Lists!$F$2,$A$1:$X$1,0))&amp;""),"")</f>
        <v/>
      </c>
      <c r="AF145" s="21">
        <f>IF(AE145="","",IFERROR(TRIM(INDEX($A145:$X145,MATCH(Lists!$F$3,$A$1:$X$1,0))&amp;""),""))</f>
        <v/>
      </c>
      <c r="AG145" s="21">
        <f>IF(AE145="","",IFERROR(TRIM(INDEX($A145:$X145,MATCH(Lists!$F$4,$A$1:$X$1,0))&amp;""),""))</f>
        <v/>
      </c>
      <c r="AH145" s="21">
        <f>IF(AE145="","",LOWER(IFERROR(TRIM(INDEX($A145:$X145,MATCH(Lists!$F$5,$A$1:$X$1,0))&amp;""),"")))</f>
        <v/>
      </c>
      <c r="AI145" s="21">
        <f>IF(AE145="","",IFERROR(TRIM(INDEX($A145:$X145,MATCH(Lists!$F$6,$A$1:$X$1,0))&amp;""),""))</f>
        <v/>
      </c>
      <c r="AJ145" s="21">
        <f>IF(AE145="","",IF(LEFT(IFERROR(TRIM(INDEX($A145:$X145,MATCH(Lists!$F$7,$A$1:$X$1,0))&amp;""),""),3)="Yes","Yes","No"))</f>
        <v/>
      </c>
      <c r="AK145" s="21">
        <f>IF(AE145="","",IFERROR(TRIM(INDEX($A145:$X145,MATCH(Lists!$F$8,$A$1:$X$1,0))&amp;""),""))</f>
        <v/>
      </c>
      <c r="AL145" s="21">
        <f>IF(AE145="","",IFERROR(IF(TRIM(INDEX($A145:$X145,MATCH(Lists!$F$9,$A$1:$X$1,0))&amp;"")="","",VALUE(TRIM(INDEX($A145:$X145,MATCH(Lists!$F$9,$A$1:$X$1,0))&amp;""))),""))</f>
        <v/>
      </c>
      <c r="AM145" s="21">
        <f>IF(AE145="","",IFERROR(TRIM(INDEX($A145:$X145,MATCH(Lists!$F$10,$A$1:$X$1,0))&amp;""),""))</f>
        <v/>
      </c>
      <c r="AN145" s="21">
        <f>IF(AE145="","",IF(OR(AM145="Paid",AM145="Partially refunded"),"Paid",IF(Z145="Yes","Paid (by hand)",IF(AM145&lt;&gt;"",AM145,"Unpaid"))))</f>
        <v/>
      </c>
      <c r="AO145" s="21">
        <f>IF(AD145=1,COUNTIFS($AE$2:$AE$301,"&lt;"&amp;AE145,$AD$2:$AD$301,1)+COUNTIF($AE$2:AE145,AE145),"")</f>
        <v/>
      </c>
    </row>
    <row r="146">
      <c r="Y146" s="19" t="n"/>
      <c r="Z146" s="22" t="n"/>
      <c r="AA146" s="22" t="n"/>
      <c r="AB146" s="22" t="n"/>
      <c r="AC146" s="19" t="n"/>
      <c r="AD146" s="21">
        <f>IF(AE146="",0,1)</f>
        <v/>
      </c>
      <c r="AE146" s="21">
        <f>IFERROR(TRIM(INDEX($A146:$X146,MATCH(Lists!$F$2,$A$1:$X$1,0))&amp;""),"")</f>
        <v/>
      </c>
      <c r="AF146" s="21">
        <f>IF(AE146="","",IFERROR(TRIM(INDEX($A146:$X146,MATCH(Lists!$F$3,$A$1:$X$1,0))&amp;""),""))</f>
        <v/>
      </c>
      <c r="AG146" s="21">
        <f>IF(AE146="","",IFERROR(TRIM(INDEX($A146:$X146,MATCH(Lists!$F$4,$A$1:$X$1,0))&amp;""),""))</f>
        <v/>
      </c>
      <c r="AH146" s="21">
        <f>IF(AE146="","",LOWER(IFERROR(TRIM(INDEX($A146:$X146,MATCH(Lists!$F$5,$A$1:$X$1,0))&amp;""),"")))</f>
        <v/>
      </c>
      <c r="AI146" s="21">
        <f>IF(AE146="","",IFERROR(TRIM(INDEX($A146:$X146,MATCH(Lists!$F$6,$A$1:$X$1,0))&amp;""),""))</f>
        <v/>
      </c>
      <c r="AJ146" s="21">
        <f>IF(AE146="","",IF(LEFT(IFERROR(TRIM(INDEX($A146:$X146,MATCH(Lists!$F$7,$A$1:$X$1,0))&amp;""),""),3)="Yes","Yes","No"))</f>
        <v/>
      </c>
      <c r="AK146" s="21">
        <f>IF(AE146="","",IFERROR(TRIM(INDEX($A146:$X146,MATCH(Lists!$F$8,$A$1:$X$1,0))&amp;""),""))</f>
        <v/>
      </c>
      <c r="AL146" s="21">
        <f>IF(AE146="","",IFERROR(IF(TRIM(INDEX($A146:$X146,MATCH(Lists!$F$9,$A$1:$X$1,0))&amp;"")="","",VALUE(TRIM(INDEX($A146:$X146,MATCH(Lists!$F$9,$A$1:$X$1,0))&amp;""))),""))</f>
        <v/>
      </c>
      <c r="AM146" s="21">
        <f>IF(AE146="","",IFERROR(TRIM(INDEX($A146:$X146,MATCH(Lists!$F$10,$A$1:$X$1,0))&amp;""),""))</f>
        <v/>
      </c>
      <c r="AN146" s="21">
        <f>IF(AE146="","",IF(OR(AM146="Paid",AM146="Partially refunded"),"Paid",IF(Z146="Yes","Paid (by hand)",IF(AM146&lt;&gt;"",AM146,"Unpaid"))))</f>
        <v/>
      </c>
      <c r="AO146" s="21">
        <f>IF(AD146=1,COUNTIFS($AE$2:$AE$301,"&lt;"&amp;AE146,$AD$2:$AD$301,1)+COUNTIF($AE$2:AE146,AE146),"")</f>
        <v/>
      </c>
    </row>
    <row r="147">
      <c r="Y147" s="19" t="n"/>
      <c r="Z147" s="22" t="n"/>
      <c r="AA147" s="22" t="n"/>
      <c r="AB147" s="22" t="n"/>
      <c r="AC147" s="19" t="n"/>
      <c r="AD147" s="21">
        <f>IF(AE147="",0,1)</f>
        <v/>
      </c>
      <c r="AE147" s="21">
        <f>IFERROR(TRIM(INDEX($A147:$X147,MATCH(Lists!$F$2,$A$1:$X$1,0))&amp;""),"")</f>
        <v/>
      </c>
      <c r="AF147" s="21">
        <f>IF(AE147="","",IFERROR(TRIM(INDEX($A147:$X147,MATCH(Lists!$F$3,$A$1:$X$1,0))&amp;""),""))</f>
        <v/>
      </c>
      <c r="AG147" s="21">
        <f>IF(AE147="","",IFERROR(TRIM(INDEX($A147:$X147,MATCH(Lists!$F$4,$A$1:$X$1,0))&amp;""),""))</f>
        <v/>
      </c>
      <c r="AH147" s="21">
        <f>IF(AE147="","",LOWER(IFERROR(TRIM(INDEX($A147:$X147,MATCH(Lists!$F$5,$A$1:$X$1,0))&amp;""),"")))</f>
        <v/>
      </c>
      <c r="AI147" s="21">
        <f>IF(AE147="","",IFERROR(TRIM(INDEX($A147:$X147,MATCH(Lists!$F$6,$A$1:$X$1,0))&amp;""),""))</f>
        <v/>
      </c>
      <c r="AJ147" s="21">
        <f>IF(AE147="","",IF(LEFT(IFERROR(TRIM(INDEX($A147:$X147,MATCH(Lists!$F$7,$A$1:$X$1,0))&amp;""),""),3)="Yes","Yes","No"))</f>
        <v/>
      </c>
      <c r="AK147" s="21">
        <f>IF(AE147="","",IFERROR(TRIM(INDEX($A147:$X147,MATCH(Lists!$F$8,$A$1:$X$1,0))&amp;""),""))</f>
        <v/>
      </c>
      <c r="AL147" s="21">
        <f>IF(AE147="","",IFERROR(IF(TRIM(INDEX($A147:$X147,MATCH(Lists!$F$9,$A$1:$X$1,0))&amp;"")="","",VALUE(TRIM(INDEX($A147:$X147,MATCH(Lists!$F$9,$A$1:$X$1,0))&amp;""))),""))</f>
        <v/>
      </c>
      <c r="AM147" s="21">
        <f>IF(AE147="","",IFERROR(TRIM(INDEX($A147:$X147,MATCH(Lists!$F$10,$A$1:$X$1,0))&amp;""),""))</f>
        <v/>
      </c>
      <c r="AN147" s="21">
        <f>IF(AE147="","",IF(OR(AM147="Paid",AM147="Partially refunded"),"Paid",IF(Z147="Yes","Paid (by hand)",IF(AM147&lt;&gt;"",AM147,"Unpaid"))))</f>
        <v/>
      </c>
      <c r="AO147" s="21">
        <f>IF(AD147=1,COUNTIFS($AE$2:$AE$301,"&lt;"&amp;AE147,$AD$2:$AD$301,1)+COUNTIF($AE$2:AE147,AE147),"")</f>
        <v/>
      </c>
    </row>
    <row r="148">
      <c r="Y148" s="19" t="n"/>
      <c r="Z148" s="22" t="n"/>
      <c r="AA148" s="22" t="n"/>
      <c r="AB148" s="22" t="n"/>
      <c r="AC148" s="19" t="n"/>
      <c r="AD148" s="21">
        <f>IF(AE148="",0,1)</f>
        <v/>
      </c>
      <c r="AE148" s="21">
        <f>IFERROR(TRIM(INDEX($A148:$X148,MATCH(Lists!$F$2,$A$1:$X$1,0))&amp;""),"")</f>
        <v/>
      </c>
      <c r="AF148" s="21">
        <f>IF(AE148="","",IFERROR(TRIM(INDEX($A148:$X148,MATCH(Lists!$F$3,$A$1:$X$1,0))&amp;""),""))</f>
        <v/>
      </c>
      <c r="AG148" s="21">
        <f>IF(AE148="","",IFERROR(TRIM(INDEX($A148:$X148,MATCH(Lists!$F$4,$A$1:$X$1,0))&amp;""),""))</f>
        <v/>
      </c>
      <c r="AH148" s="21">
        <f>IF(AE148="","",LOWER(IFERROR(TRIM(INDEX($A148:$X148,MATCH(Lists!$F$5,$A$1:$X$1,0))&amp;""),"")))</f>
        <v/>
      </c>
      <c r="AI148" s="21">
        <f>IF(AE148="","",IFERROR(TRIM(INDEX($A148:$X148,MATCH(Lists!$F$6,$A$1:$X$1,0))&amp;""),""))</f>
        <v/>
      </c>
      <c r="AJ148" s="21">
        <f>IF(AE148="","",IF(LEFT(IFERROR(TRIM(INDEX($A148:$X148,MATCH(Lists!$F$7,$A$1:$X$1,0))&amp;""),""),3)="Yes","Yes","No"))</f>
        <v/>
      </c>
      <c r="AK148" s="21">
        <f>IF(AE148="","",IFERROR(TRIM(INDEX($A148:$X148,MATCH(Lists!$F$8,$A$1:$X$1,0))&amp;""),""))</f>
        <v/>
      </c>
      <c r="AL148" s="21">
        <f>IF(AE148="","",IFERROR(IF(TRIM(INDEX($A148:$X148,MATCH(Lists!$F$9,$A$1:$X$1,0))&amp;"")="","",VALUE(TRIM(INDEX($A148:$X148,MATCH(Lists!$F$9,$A$1:$X$1,0))&amp;""))),""))</f>
        <v/>
      </c>
      <c r="AM148" s="21">
        <f>IF(AE148="","",IFERROR(TRIM(INDEX($A148:$X148,MATCH(Lists!$F$10,$A$1:$X$1,0))&amp;""),""))</f>
        <v/>
      </c>
      <c r="AN148" s="21">
        <f>IF(AE148="","",IF(OR(AM148="Paid",AM148="Partially refunded"),"Paid",IF(Z148="Yes","Paid (by hand)",IF(AM148&lt;&gt;"",AM148,"Unpaid"))))</f>
        <v/>
      </c>
      <c r="AO148" s="21">
        <f>IF(AD148=1,COUNTIFS($AE$2:$AE$301,"&lt;"&amp;AE148,$AD$2:$AD$301,1)+COUNTIF($AE$2:AE148,AE148),"")</f>
        <v/>
      </c>
    </row>
    <row r="149">
      <c r="Y149" s="19" t="n"/>
      <c r="Z149" s="22" t="n"/>
      <c r="AA149" s="22" t="n"/>
      <c r="AB149" s="22" t="n"/>
      <c r="AC149" s="19" t="n"/>
      <c r="AD149" s="21">
        <f>IF(AE149="",0,1)</f>
        <v/>
      </c>
      <c r="AE149" s="21">
        <f>IFERROR(TRIM(INDEX($A149:$X149,MATCH(Lists!$F$2,$A$1:$X$1,0))&amp;""),"")</f>
        <v/>
      </c>
      <c r="AF149" s="21">
        <f>IF(AE149="","",IFERROR(TRIM(INDEX($A149:$X149,MATCH(Lists!$F$3,$A$1:$X$1,0))&amp;""),""))</f>
        <v/>
      </c>
      <c r="AG149" s="21">
        <f>IF(AE149="","",IFERROR(TRIM(INDEX($A149:$X149,MATCH(Lists!$F$4,$A$1:$X$1,0))&amp;""),""))</f>
        <v/>
      </c>
      <c r="AH149" s="21">
        <f>IF(AE149="","",LOWER(IFERROR(TRIM(INDEX($A149:$X149,MATCH(Lists!$F$5,$A$1:$X$1,0))&amp;""),"")))</f>
        <v/>
      </c>
      <c r="AI149" s="21">
        <f>IF(AE149="","",IFERROR(TRIM(INDEX($A149:$X149,MATCH(Lists!$F$6,$A$1:$X$1,0))&amp;""),""))</f>
        <v/>
      </c>
      <c r="AJ149" s="21">
        <f>IF(AE149="","",IF(LEFT(IFERROR(TRIM(INDEX($A149:$X149,MATCH(Lists!$F$7,$A$1:$X$1,0))&amp;""),""),3)="Yes","Yes","No"))</f>
        <v/>
      </c>
      <c r="AK149" s="21">
        <f>IF(AE149="","",IFERROR(TRIM(INDEX($A149:$X149,MATCH(Lists!$F$8,$A$1:$X$1,0))&amp;""),""))</f>
        <v/>
      </c>
      <c r="AL149" s="21">
        <f>IF(AE149="","",IFERROR(IF(TRIM(INDEX($A149:$X149,MATCH(Lists!$F$9,$A$1:$X$1,0))&amp;"")="","",VALUE(TRIM(INDEX($A149:$X149,MATCH(Lists!$F$9,$A$1:$X$1,0))&amp;""))),""))</f>
        <v/>
      </c>
      <c r="AM149" s="21">
        <f>IF(AE149="","",IFERROR(TRIM(INDEX($A149:$X149,MATCH(Lists!$F$10,$A$1:$X$1,0))&amp;""),""))</f>
        <v/>
      </c>
      <c r="AN149" s="21">
        <f>IF(AE149="","",IF(OR(AM149="Paid",AM149="Partially refunded"),"Paid",IF(Z149="Yes","Paid (by hand)",IF(AM149&lt;&gt;"",AM149,"Unpaid"))))</f>
        <v/>
      </c>
      <c r="AO149" s="21">
        <f>IF(AD149=1,COUNTIFS($AE$2:$AE$301,"&lt;"&amp;AE149,$AD$2:$AD$301,1)+COUNTIF($AE$2:AE149,AE149),"")</f>
        <v/>
      </c>
    </row>
    <row r="150">
      <c r="Y150" s="19" t="n"/>
      <c r="Z150" s="22" t="n"/>
      <c r="AA150" s="22" t="n"/>
      <c r="AB150" s="22" t="n"/>
      <c r="AC150" s="19" t="n"/>
      <c r="AD150" s="21">
        <f>IF(AE150="",0,1)</f>
        <v/>
      </c>
      <c r="AE150" s="21">
        <f>IFERROR(TRIM(INDEX($A150:$X150,MATCH(Lists!$F$2,$A$1:$X$1,0))&amp;""),"")</f>
        <v/>
      </c>
      <c r="AF150" s="21">
        <f>IF(AE150="","",IFERROR(TRIM(INDEX($A150:$X150,MATCH(Lists!$F$3,$A$1:$X$1,0))&amp;""),""))</f>
        <v/>
      </c>
      <c r="AG150" s="21">
        <f>IF(AE150="","",IFERROR(TRIM(INDEX($A150:$X150,MATCH(Lists!$F$4,$A$1:$X$1,0))&amp;""),""))</f>
        <v/>
      </c>
      <c r="AH150" s="21">
        <f>IF(AE150="","",LOWER(IFERROR(TRIM(INDEX($A150:$X150,MATCH(Lists!$F$5,$A$1:$X$1,0))&amp;""),"")))</f>
        <v/>
      </c>
      <c r="AI150" s="21">
        <f>IF(AE150="","",IFERROR(TRIM(INDEX($A150:$X150,MATCH(Lists!$F$6,$A$1:$X$1,0))&amp;""),""))</f>
        <v/>
      </c>
      <c r="AJ150" s="21">
        <f>IF(AE150="","",IF(LEFT(IFERROR(TRIM(INDEX($A150:$X150,MATCH(Lists!$F$7,$A$1:$X$1,0))&amp;""),""),3)="Yes","Yes","No"))</f>
        <v/>
      </c>
      <c r="AK150" s="21">
        <f>IF(AE150="","",IFERROR(TRIM(INDEX($A150:$X150,MATCH(Lists!$F$8,$A$1:$X$1,0))&amp;""),""))</f>
        <v/>
      </c>
      <c r="AL150" s="21">
        <f>IF(AE150="","",IFERROR(IF(TRIM(INDEX($A150:$X150,MATCH(Lists!$F$9,$A$1:$X$1,0))&amp;"")="","",VALUE(TRIM(INDEX($A150:$X150,MATCH(Lists!$F$9,$A$1:$X$1,0))&amp;""))),""))</f>
        <v/>
      </c>
      <c r="AM150" s="21">
        <f>IF(AE150="","",IFERROR(TRIM(INDEX($A150:$X150,MATCH(Lists!$F$10,$A$1:$X$1,0))&amp;""),""))</f>
        <v/>
      </c>
      <c r="AN150" s="21">
        <f>IF(AE150="","",IF(OR(AM150="Paid",AM150="Partially refunded"),"Paid",IF(Z150="Yes","Paid (by hand)",IF(AM150&lt;&gt;"",AM150,"Unpaid"))))</f>
        <v/>
      </c>
      <c r="AO150" s="21">
        <f>IF(AD150=1,COUNTIFS($AE$2:$AE$301,"&lt;"&amp;AE150,$AD$2:$AD$301,1)+COUNTIF($AE$2:AE150,AE150),"")</f>
        <v/>
      </c>
    </row>
    <row r="151">
      <c r="Y151" s="19" t="n"/>
      <c r="Z151" s="22" t="n"/>
      <c r="AA151" s="22" t="n"/>
      <c r="AB151" s="22" t="n"/>
      <c r="AC151" s="19" t="n"/>
      <c r="AD151" s="21">
        <f>IF(AE151="",0,1)</f>
        <v/>
      </c>
      <c r="AE151" s="21">
        <f>IFERROR(TRIM(INDEX($A151:$X151,MATCH(Lists!$F$2,$A$1:$X$1,0))&amp;""),"")</f>
        <v/>
      </c>
      <c r="AF151" s="21">
        <f>IF(AE151="","",IFERROR(TRIM(INDEX($A151:$X151,MATCH(Lists!$F$3,$A$1:$X$1,0))&amp;""),""))</f>
        <v/>
      </c>
      <c r="AG151" s="21">
        <f>IF(AE151="","",IFERROR(TRIM(INDEX($A151:$X151,MATCH(Lists!$F$4,$A$1:$X$1,0))&amp;""),""))</f>
        <v/>
      </c>
      <c r="AH151" s="21">
        <f>IF(AE151="","",LOWER(IFERROR(TRIM(INDEX($A151:$X151,MATCH(Lists!$F$5,$A$1:$X$1,0))&amp;""),"")))</f>
        <v/>
      </c>
      <c r="AI151" s="21">
        <f>IF(AE151="","",IFERROR(TRIM(INDEX($A151:$X151,MATCH(Lists!$F$6,$A$1:$X$1,0))&amp;""),""))</f>
        <v/>
      </c>
      <c r="AJ151" s="21">
        <f>IF(AE151="","",IF(LEFT(IFERROR(TRIM(INDEX($A151:$X151,MATCH(Lists!$F$7,$A$1:$X$1,0))&amp;""),""),3)="Yes","Yes","No"))</f>
        <v/>
      </c>
      <c r="AK151" s="21">
        <f>IF(AE151="","",IFERROR(TRIM(INDEX($A151:$X151,MATCH(Lists!$F$8,$A$1:$X$1,0))&amp;""),""))</f>
        <v/>
      </c>
      <c r="AL151" s="21">
        <f>IF(AE151="","",IFERROR(IF(TRIM(INDEX($A151:$X151,MATCH(Lists!$F$9,$A$1:$X$1,0))&amp;"")="","",VALUE(TRIM(INDEX($A151:$X151,MATCH(Lists!$F$9,$A$1:$X$1,0))&amp;""))),""))</f>
        <v/>
      </c>
      <c r="AM151" s="21">
        <f>IF(AE151="","",IFERROR(TRIM(INDEX($A151:$X151,MATCH(Lists!$F$10,$A$1:$X$1,0))&amp;""),""))</f>
        <v/>
      </c>
      <c r="AN151" s="21">
        <f>IF(AE151="","",IF(OR(AM151="Paid",AM151="Partially refunded"),"Paid",IF(Z151="Yes","Paid (by hand)",IF(AM151&lt;&gt;"",AM151,"Unpaid"))))</f>
        <v/>
      </c>
      <c r="AO151" s="21">
        <f>IF(AD151=1,COUNTIFS($AE$2:$AE$301,"&lt;"&amp;AE151,$AD$2:$AD$301,1)+COUNTIF($AE$2:AE151,AE151),"")</f>
        <v/>
      </c>
    </row>
    <row r="152">
      <c r="Y152" s="19" t="n"/>
      <c r="Z152" s="22" t="n"/>
      <c r="AA152" s="22" t="n"/>
      <c r="AB152" s="22" t="n"/>
      <c r="AC152" s="19" t="n"/>
      <c r="AD152" s="21">
        <f>IF(AE152="",0,1)</f>
        <v/>
      </c>
      <c r="AE152" s="21">
        <f>IFERROR(TRIM(INDEX($A152:$X152,MATCH(Lists!$F$2,$A$1:$X$1,0))&amp;""),"")</f>
        <v/>
      </c>
      <c r="AF152" s="21">
        <f>IF(AE152="","",IFERROR(TRIM(INDEX($A152:$X152,MATCH(Lists!$F$3,$A$1:$X$1,0))&amp;""),""))</f>
        <v/>
      </c>
      <c r="AG152" s="21">
        <f>IF(AE152="","",IFERROR(TRIM(INDEX($A152:$X152,MATCH(Lists!$F$4,$A$1:$X$1,0))&amp;""),""))</f>
        <v/>
      </c>
      <c r="AH152" s="21">
        <f>IF(AE152="","",LOWER(IFERROR(TRIM(INDEX($A152:$X152,MATCH(Lists!$F$5,$A$1:$X$1,0))&amp;""),"")))</f>
        <v/>
      </c>
      <c r="AI152" s="21">
        <f>IF(AE152="","",IFERROR(TRIM(INDEX($A152:$X152,MATCH(Lists!$F$6,$A$1:$X$1,0))&amp;""),""))</f>
        <v/>
      </c>
      <c r="AJ152" s="21">
        <f>IF(AE152="","",IF(LEFT(IFERROR(TRIM(INDEX($A152:$X152,MATCH(Lists!$F$7,$A$1:$X$1,0))&amp;""),""),3)="Yes","Yes","No"))</f>
        <v/>
      </c>
      <c r="AK152" s="21">
        <f>IF(AE152="","",IFERROR(TRIM(INDEX($A152:$X152,MATCH(Lists!$F$8,$A$1:$X$1,0))&amp;""),""))</f>
        <v/>
      </c>
      <c r="AL152" s="21">
        <f>IF(AE152="","",IFERROR(IF(TRIM(INDEX($A152:$X152,MATCH(Lists!$F$9,$A$1:$X$1,0))&amp;"")="","",VALUE(TRIM(INDEX($A152:$X152,MATCH(Lists!$F$9,$A$1:$X$1,0))&amp;""))),""))</f>
        <v/>
      </c>
      <c r="AM152" s="21">
        <f>IF(AE152="","",IFERROR(TRIM(INDEX($A152:$X152,MATCH(Lists!$F$10,$A$1:$X$1,0))&amp;""),""))</f>
        <v/>
      </c>
      <c r="AN152" s="21">
        <f>IF(AE152="","",IF(OR(AM152="Paid",AM152="Partially refunded"),"Paid",IF(Z152="Yes","Paid (by hand)",IF(AM152&lt;&gt;"",AM152,"Unpaid"))))</f>
        <v/>
      </c>
      <c r="AO152" s="21">
        <f>IF(AD152=1,COUNTIFS($AE$2:$AE$301,"&lt;"&amp;AE152,$AD$2:$AD$301,1)+COUNTIF($AE$2:AE152,AE152),"")</f>
        <v/>
      </c>
    </row>
    <row r="153">
      <c r="Y153" s="19" t="n"/>
      <c r="Z153" s="22" t="n"/>
      <c r="AA153" s="22" t="n"/>
      <c r="AB153" s="22" t="n"/>
      <c r="AC153" s="19" t="n"/>
      <c r="AD153" s="21">
        <f>IF(AE153="",0,1)</f>
        <v/>
      </c>
      <c r="AE153" s="21">
        <f>IFERROR(TRIM(INDEX($A153:$X153,MATCH(Lists!$F$2,$A$1:$X$1,0))&amp;""),"")</f>
        <v/>
      </c>
      <c r="AF153" s="21">
        <f>IF(AE153="","",IFERROR(TRIM(INDEX($A153:$X153,MATCH(Lists!$F$3,$A$1:$X$1,0))&amp;""),""))</f>
        <v/>
      </c>
      <c r="AG153" s="21">
        <f>IF(AE153="","",IFERROR(TRIM(INDEX($A153:$X153,MATCH(Lists!$F$4,$A$1:$X$1,0))&amp;""),""))</f>
        <v/>
      </c>
      <c r="AH153" s="21">
        <f>IF(AE153="","",LOWER(IFERROR(TRIM(INDEX($A153:$X153,MATCH(Lists!$F$5,$A$1:$X$1,0))&amp;""),"")))</f>
        <v/>
      </c>
      <c r="AI153" s="21">
        <f>IF(AE153="","",IFERROR(TRIM(INDEX($A153:$X153,MATCH(Lists!$F$6,$A$1:$X$1,0))&amp;""),""))</f>
        <v/>
      </c>
      <c r="AJ153" s="21">
        <f>IF(AE153="","",IF(LEFT(IFERROR(TRIM(INDEX($A153:$X153,MATCH(Lists!$F$7,$A$1:$X$1,0))&amp;""),""),3)="Yes","Yes","No"))</f>
        <v/>
      </c>
      <c r="AK153" s="21">
        <f>IF(AE153="","",IFERROR(TRIM(INDEX($A153:$X153,MATCH(Lists!$F$8,$A$1:$X$1,0))&amp;""),""))</f>
        <v/>
      </c>
      <c r="AL153" s="21">
        <f>IF(AE153="","",IFERROR(IF(TRIM(INDEX($A153:$X153,MATCH(Lists!$F$9,$A$1:$X$1,0))&amp;"")="","",VALUE(TRIM(INDEX($A153:$X153,MATCH(Lists!$F$9,$A$1:$X$1,0))&amp;""))),""))</f>
        <v/>
      </c>
      <c r="AM153" s="21">
        <f>IF(AE153="","",IFERROR(TRIM(INDEX($A153:$X153,MATCH(Lists!$F$10,$A$1:$X$1,0))&amp;""),""))</f>
        <v/>
      </c>
      <c r="AN153" s="21">
        <f>IF(AE153="","",IF(OR(AM153="Paid",AM153="Partially refunded"),"Paid",IF(Z153="Yes","Paid (by hand)",IF(AM153&lt;&gt;"",AM153,"Unpaid"))))</f>
        <v/>
      </c>
      <c r="AO153" s="21">
        <f>IF(AD153=1,COUNTIFS($AE$2:$AE$301,"&lt;"&amp;AE153,$AD$2:$AD$301,1)+COUNTIF($AE$2:AE153,AE153),"")</f>
        <v/>
      </c>
    </row>
    <row r="154">
      <c r="Y154" s="19" t="n"/>
      <c r="Z154" s="22" t="n"/>
      <c r="AA154" s="22" t="n"/>
      <c r="AB154" s="22" t="n"/>
      <c r="AC154" s="19" t="n"/>
      <c r="AD154" s="21">
        <f>IF(AE154="",0,1)</f>
        <v/>
      </c>
      <c r="AE154" s="21">
        <f>IFERROR(TRIM(INDEX($A154:$X154,MATCH(Lists!$F$2,$A$1:$X$1,0))&amp;""),"")</f>
        <v/>
      </c>
      <c r="AF154" s="21">
        <f>IF(AE154="","",IFERROR(TRIM(INDEX($A154:$X154,MATCH(Lists!$F$3,$A$1:$X$1,0))&amp;""),""))</f>
        <v/>
      </c>
      <c r="AG154" s="21">
        <f>IF(AE154="","",IFERROR(TRIM(INDEX($A154:$X154,MATCH(Lists!$F$4,$A$1:$X$1,0))&amp;""),""))</f>
        <v/>
      </c>
      <c r="AH154" s="21">
        <f>IF(AE154="","",LOWER(IFERROR(TRIM(INDEX($A154:$X154,MATCH(Lists!$F$5,$A$1:$X$1,0))&amp;""),"")))</f>
        <v/>
      </c>
      <c r="AI154" s="21">
        <f>IF(AE154="","",IFERROR(TRIM(INDEX($A154:$X154,MATCH(Lists!$F$6,$A$1:$X$1,0))&amp;""),""))</f>
        <v/>
      </c>
      <c r="AJ154" s="21">
        <f>IF(AE154="","",IF(LEFT(IFERROR(TRIM(INDEX($A154:$X154,MATCH(Lists!$F$7,$A$1:$X$1,0))&amp;""),""),3)="Yes","Yes","No"))</f>
        <v/>
      </c>
      <c r="AK154" s="21">
        <f>IF(AE154="","",IFERROR(TRIM(INDEX($A154:$X154,MATCH(Lists!$F$8,$A$1:$X$1,0))&amp;""),""))</f>
        <v/>
      </c>
      <c r="AL154" s="21">
        <f>IF(AE154="","",IFERROR(IF(TRIM(INDEX($A154:$X154,MATCH(Lists!$F$9,$A$1:$X$1,0))&amp;"")="","",VALUE(TRIM(INDEX($A154:$X154,MATCH(Lists!$F$9,$A$1:$X$1,0))&amp;""))),""))</f>
        <v/>
      </c>
      <c r="AM154" s="21">
        <f>IF(AE154="","",IFERROR(TRIM(INDEX($A154:$X154,MATCH(Lists!$F$10,$A$1:$X$1,0))&amp;""),""))</f>
        <v/>
      </c>
      <c r="AN154" s="21">
        <f>IF(AE154="","",IF(OR(AM154="Paid",AM154="Partially refunded"),"Paid",IF(Z154="Yes","Paid (by hand)",IF(AM154&lt;&gt;"",AM154,"Unpaid"))))</f>
        <v/>
      </c>
      <c r="AO154" s="21">
        <f>IF(AD154=1,COUNTIFS($AE$2:$AE$301,"&lt;"&amp;AE154,$AD$2:$AD$301,1)+COUNTIF($AE$2:AE154,AE154),"")</f>
        <v/>
      </c>
    </row>
    <row r="155">
      <c r="Y155" s="19" t="n"/>
      <c r="Z155" s="22" t="n"/>
      <c r="AA155" s="22" t="n"/>
      <c r="AB155" s="22" t="n"/>
      <c r="AC155" s="19" t="n"/>
      <c r="AD155" s="21">
        <f>IF(AE155="",0,1)</f>
        <v/>
      </c>
      <c r="AE155" s="21">
        <f>IFERROR(TRIM(INDEX($A155:$X155,MATCH(Lists!$F$2,$A$1:$X$1,0))&amp;""),"")</f>
        <v/>
      </c>
      <c r="AF155" s="21">
        <f>IF(AE155="","",IFERROR(TRIM(INDEX($A155:$X155,MATCH(Lists!$F$3,$A$1:$X$1,0))&amp;""),""))</f>
        <v/>
      </c>
      <c r="AG155" s="21">
        <f>IF(AE155="","",IFERROR(TRIM(INDEX($A155:$X155,MATCH(Lists!$F$4,$A$1:$X$1,0))&amp;""),""))</f>
        <v/>
      </c>
      <c r="AH155" s="21">
        <f>IF(AE155="","",LOWER(IFERROR(TRIM(INDEX($A155:$X155,MATCH(Lists!$F$5,$A$1:$X$1,0))&amp;""),"")))</f>
        <v/>
      </c>
      <c r="AI155" s="21">
        <f>IF(AE155="","",IFERROR(TRIM(INDEX($A155:$X155,MATCH(Lists!$F$6,$A$1:$X$1,0))&amp;""),""))</f>
        <v/>
      </c>
      <c r="AJ155" s="21">
        <f>IF(AE155="","",IF(LEFT(IFERROR(TRIM(INDEX($A155:$X155,MATCH(Lists!$F$7,$A$1:$X$1,0))&amp;""),""),3)="Yes","Yes","No"))</f>
        <v/>
      </c>
      <c r="AK155" s="21">
        <f>IF(AE155="","",IFERROR(TRIM(INDEX($A155:$X155,MATCH(Lists!$F$8,$A$1:$X$1,0))&amp;""),""))</f>
        <v/>
      </c>
      <c r="AL155" s="21">
        <f>IF(AE155="","",IFERROR(IF(TRIM(INDEX($A155:$X155,MATCH(Lists!$F$9,$A$1:$X$1,0))&amp;"")="","",VALUE(TRIM(INDEX($A155:$X155,MATCH(Lists!$F$9,$A$1:$X$1,0))&amp;""))),""))</f>
        <v/>
      </c>
      <c r="AM155" s="21">
        <f>IF(AE155="","",IFERROR(TRIM(INDEX($A155:$X155,MATCH(Lists!$F$10,$A$1:$X$1,0))&amp;""),""))</f>
        <v/>
      </c>
      <c r="AN155" s="21">
        <f>IF(AE155="","",IF(OR(AM155="Paid",AM155="Partially refunded"),"Paid",IF(Z155="Yes","Paid (by hand)",IF(AM155&lt;&gt;"",AM155,"Unpaid"))))</f>
        <v/>
      </c>
      <c r="AO155" s="21">
        <f>IF(AD155=1,COUNTIFS($AE$2:$AE$301,"&lt;"&amp;AE155,$AD$2:$AD$301,1)+COUNTIF($AE$2:AE155,AE155),"")</f>
        <v/>
      </c>
    </row>
    <row r="156">
      <c r="Y156" s="19" t="n"/>
      <c r="Z156" s="22" t="n"/>
      <c r="AA156" s="22" t="n"/>
      <c r="AB156" s="22" t="n"/>
      <c r="AC156" s="19" t="n"/>
      <c r="AD156" s="21">
        <f>IF(AE156="",0,1)</f>
        <v/>
      </c>
      <c r="AE156" s="21">
        <f>IFERROR(TRIM(INDEX($A156:$X156,MATCH(Lists!$F$2,$A$1:$X$1,0))&amp;""),"")</f>
        <v/>
      </c>
      <c r="AF156" s="21">
        <f>IF(AE156="","",IFERROR(TRIM(INDEX($A156:$X156,MATCH(Lists!$F$3,$A$1:$X$1,0))&amp;""),""))</f>
        <v/>
      </c>
      <c r="AG156" s="21">
        <f>IF(AE156="","",IFERROR(TRIM(INDEX($A156:$X156,MATCH(Lists!$F$4,$A$1:$X$1,0))&amp;""),""))</f>
        <v/>
      </c>
      <c r="AH156" s="21">
        <f>IF(AE156="","",LOWER(IFERROR(TRIM(INDEX($A156:$X156,MATCH(Lists!$F$5,$A$1:$X$1,0))&amp;""),"")))</f>
        <v/>
      </c>
      <c r="AI156" s="21">
        <f>IF(AE156="","",IFERROR(TRIM(INDEX($A156:$X156,MATCH(Lists!$F$6,$A$1:$X$1,0))&amp;""),""))</f>
        <v/>
      </c>
      <c r="AJ156" s="21">
        <f>IF(AE156="","",IF(LEFT(IFERROR(TRIM(INDEX($A156:$X156,MATCH(Lists!$F$7,$A$1:$X$1,0))&amp;""),""),3)="Yes","Yes","No"))</f>
        <v/>
      </c>
      <c r="AK156" s="21">
        <f>IF(AE156="","",IFERROR(TRIM(INDEX($A156:$X156,MATCH(Lists!$F$8,$A$1:$X$1,0))&amp;""),""))</f>
        <v/>
      </c>
      <c r="AL156" s="21">
        <f>IF(AE156="","",IFERROR(IF(TRIM(INDEX($A156:$X156,MATCH(Lists!$F$9,$A$1:$X$1,0))&amp;"")="","",VALUE(TRIM(INDEX($A156:$X156,MATCH(Lists!$F$9,$A$1:$X$1,0))&amp;""))),""))</f>
        <v/>
      </c>
      <c r="AM156" s="21">
        <f>IF(AE156="","",IFERROR(TRIM(INDEX($A156:$X156,MATCH(Lists!$F$10,$A$1:$X$1,0))&amp;""),""))</f>
        <v/>
      </c>
      <c r="AN156" s="21">
        <f>IF(AE156="","",IF(OR(AM156="Paid",AM156="Partially refunded"),"Paid",IF(Z156="Yes","Paid (by hand)",IF(AM156&lt;&gt;"",AM156,"Unpaid"))))</f>
        <v/>
      </c>
      <c r="AO156" s="21">
        <f>IF(AD156=1,COUNTIFS($AE$2:$AE$301,"&lt;"&amp;AE156,$AD$2:$AD$301,1)+COUNTIF($AE$2:AE156,AE156),"")</f>
        <v/>
      </c>
    </row>
    <row r="157">
      <c r="Y157" s="19" t="n"/>
      <c r="Z157" s="22" t="n"/>
      <c r="AA157" s="22" t="n"/>
      <c r="AB157" s="22" t="n"/>
      <c r="AC157" s="19" t="n"/>
      <c r="AD157" s="21">
        <f>IF(AE157="",0,1)</f>
        <v/>
      </c>
      <c r="AE157" s="21">
        <f>IFERROR(TRIM(INDEX($A157:$X157,MATCH(Lists!$F$2,$A$1:$X$1,0))&amp;""),"")</f>
        <v/>
      </c>
      <c r="AF157" s="21">
        <f>IF(AE157="","",IFERROR(TRIM(INDEX($A157:$X157,MATCH(Lists!$F$3,$A$1:$X$1,0))&amp;""),""))</f>
        <v/>
      </c>
      <c r="AG157" s="21">
        <f>IF(AE157="","",IFERROR(TRIM(INDEX($A157:$X157,MATCH(Lists!$F$4,$A$1:$X$1,0))&amp;""),""))</f>
        <v/>
      </c>
      <c r="AH157" s="21">
        <f>IF(AE157="","",LOWER(IFERROR(TRIM(INDEX($A157:$X157,MATCH(Lists!$F$5,$A$1:$X$1,0))&amp;""),"")))</f>
        <v/>
      </c>
      <c r="AI157" s="21">
        <f>IF(AE157="","",IFERROR(TRIM(INDEX($A157:$X157,MATCH(Lists!$F$6,$A$1:$X$1,0))&amp;""),""))</f>
        <v/>
      </c>
      <c r="AJ157" s="21">
        <f>IF(AE157="","",IF(LEFT(IFERROR(TRIM(INDEX($A157:$X157,MATCH(Lists!$F$7,$A$1:$X$1,0))&amp;""),""),3)="Yes","Yes","No"))</f>
        <v/>
      </c>
      <c r="AK157" s="21">
        <f>IF(AE157="","",IFERROR(TRIM(INDEX($A157:$X157,MATCH(Lists!$F$8,$A$1:$X$1,0))&amp;""),""))</f>
        <v/>
      </c>
      <c r="AL157" s="21">
        <f>IF(AE157="","",IFERROR(IF(TRIM(INDEX($A157:$X157,MATCH(Lists!$F$9,$A$1:$X$1,0))&amp;"")="","",VALUE(TRIM(INDEX($A157:$X157,MATCH(Lists!$F$9,$A$1:$X$1,0))&amp;""))),""))</f>
        <v/>
      </c>
      <c r="AM157" s="21">
        <f>IF(AE157="","",IFERROR(TRIM(INDEX($A157:$X157,MATCH(Lists!$F$10,$A$1:$X$1,0))&amp;""),""))</f>
        <v/>
      </c>
      <c r="AN157" s="21">
        <f>IF(AE157="","",IF(OR(AM157="Paid",AM157="Partially refunded"),"Paid",IF(Z157="Yes","Paid (by hand)",IF(AM157&lt;&gt;"",AM157,"Unpaid"))))</f>
        <v/>
      </c>
      <c r="AO157" s="21">
        <f>IF(AD157=1,COUNTIFS($AE$2:$AE$301,"&lt;"&amp;AE157,$AD$2:$AD$301,1)+COUNTIF($AE$2:AE157,AE157),"")</f>
        <v/>
      </c>
    </row>
    <row r="158">
      <c r="Y158" s="19" t="n"/>
      <c r="Z158" s="22" t="n"/>
      <c r="AA158" s="22" t="n"/>
      <c r="AB158" s="22" t="n"/>
      <c r="AC158" s="19" t="n"/>
      <c r="AD158" s="21">
        <f>IF(AE158="",0,1)</f>
        <v/>
      </c>
      <c r="AE158" s="21">
        <f>IFERROR(TRIM(INDEX($A158:$X158,MATCH(Lists!$F$2,$A$1:$X$1,0))&amp;""),"")</f>
        <v/>
      </c>
      <c r="AF158" s="21">
        <f>IF(AE158="","",IFERROR(TRIM(INDEX($A158:$X158,MATCH(Lists!$F$3,$A$1:$X$1,0))&amp;""),""))</f>
        <v/>
      </c>
      <c r="AG158" s="21">
        <f>IF(AE158="","",IFERROR(TRIM(INDEX($A158:$X158,MATCH(Lists!$F$4,$A$1:$X$1,0))&amp;""),""))</f>
        <v/>
      </c>
      <c r="AH158" s="21">
        <f>IF(AE158="","",LOWER(IFERROR(TRIM(INDEX($A158:$X158,MATCH(Lists!$F$5,$A$1:$X$1,0))&amp;""),"")))</f>
        <v/>
      </c>
      <c r="AI158" s="21">
        <f>IF(AE158="","",IFERROR(TRIM(INDEX($A158:$X158,MATCH(Lists!$F$6,$A$1:$X$1,0))&amp;""),""))</f>
        <v/>
      </c>
      <c r="AJ158" s="21">
        <f>IF(AE158="","",IF(LEFT(IFERROR(TRIM(INDEX($A158:$X158,MATCH(Lists!$F$7,$A$1:$X$1,0))&amp;""),""),3)="Yes","Yes","No"))</f>
        <v/>
      </c>
      <c r="AK158" s="21">
        <f>IF(AE158="","",IFERROR(TRIM(INDEX($A158:$X158,MATCH(Lists!$F$8,$A$1:$X$1,0))&amp;""),""))</f>
        <v/>
      </c>
      <c r="AL158" s="21">
        <f>IF(AE158="","",IFERROR(IF(TRIM(INDEX($A158:$X158,MATCH(Lists!$F$9,$A$1:$X$1,0))&amp;"")="","",VALUE(TRIM(INDEX($A158:$X158,MATCH(Lists!$F$9,$A$1:$X$1,0))&amp;""))),""))</f>
        <v/>
      </c>
      <c r="AM158" s="21">
        <f>IF(AE158="","",IFERROR(TRIM(INDEX($A158:$X158,MATCH(Lists!$F$10,$A$1:$X$1,0))&amp;""),""))</f>
        <v/>
      </c>
      <c r="AN158" s="21">
        <f>IF(AE158="","",IF(OR(AM158="Paid",AM158="Partially refunded"),"Paid",IF(Z158="Yes","Paid (by hand)",IF(AM158&lt;&gt;"",AM158,"Unpaid"))))</f>
        <v/>
      </c>
      <c r="AO158" s="21">
        <f>IF(AD158=1,COUNTIFS($AE$2:$AE$301,"&lt;"&amp;AE158,$AD$2:$AD$301,1)+COUNTIF($AE$2:AE158,AE158),"")</f>
        <v/>
      </c>
    </row>
    <row r="159">
      <c r="Y159" s="19" t="n"/>
      <c r="Z159" s="22" t="n"/>
      <c r="AA159" s="22" t="n"/>
      <c r="AB159" s="22" t="n"/>
      <c r="AC159" s="19" t="n"/>
      <c r="AD159" s="21">
        <f>IF(AE159="",0,1)</f>
        <v/>
      </c>
      <c r="AE159" s="21">
        <f>IFERROR(TRIM(INDEX($A159:$X159,MATCH(Lists!$F$2,$A$1:$X$1,0))&amp;""),"")</f>
        <v/>
      </c>
      <c r="AF159" s="21">
        <f>IF(AE159="","",IFERROR(TRIM(INDEX($A159:$X159,MATCH(Lists!$F$3,$A$1:$X$1,0))&amp;""),""))</f>
        <v/>
      </c>
      <c r="AG159" s="21">
        <f>IF(AE159="","",IFERROR(TRIM(INDEX($A159:$X159,MATCH(Lists!$F$4,$A$1:$X$1,0))&amp;""),""))</f>
        <v/>
      </c>
      <c r="AH159" s="21">
        <f>IF(AE159="","",LOWER(IFERROR(TRIM(INDEX($A159:$X159,MATCH(Lists!$F$5,$A$1:$X$1,0))&amp;""),"")))</f>
        <v/>
      </c>
      <c r="AI159" s="21">
        <f>IF(AE159="","",IFERROR(TRIM(INDEX($A159:$X159,MATCH(Lists!$F$6,$A$1:$X$1,0))&amp;""),""))</f>
        <v/>
      </c>
      <c r="AJ159" s="21">
        <f>IF(AE159="","",IF(LEFT(IFERROR(TRIM(INDEX($A159:$X159,MATCH(Lists!$F$7,$A$1:$X$1,0))&amp;""),""),3)="Yes","Yes","No"))</f>
        <v/>
      </c>
      <c r="AK159" s="21">
        <f>IF(AE159="","",IFERROR(TRIM(INDEX($A159:$X159,MATCH(Lists!$F$8,$A$1:$X$1,0))&amp;""),""))</f>
        <v/>
      </c>
      <c r="AL159" s="21">
        <f>IF(AE159="","",IFERROR(IF(TRIM(INDEX($A159:$X159,MATCH(Lists!$F$9,$A$1:$X$1,0))&amp;"")="","",VALUE(TRIM(INDEX($A159:$X159,MATCH(Lists!$F$9,$A$1:$X$1,0))&amp;""))),""))</f>
        <v/>
      </c>
      <c r="AM159" s="21">
        <f>IF(AE159="","",IFERROR(TRIM(INDEX($A159:$X159,MATCH(Lists!$F$10,$A$1:$X$1,0))&amp;""),""))</f>
        <v/>
      </c>
      <c r="AN159" s="21">
        <f>IF(AE159="","",IF(OR(AM159="Paid",AM159="Partially refunded"),"Paid",IF(Z159="Yes","Paid (by hand)",IF(AM159&lt;&gt;"",AM159,"Unpaid"))))</f>
        <v/>
      </c>
      <c r="AO159" s="21">
        <f>IF(AD159=1,COUNTIFS($AE$2:$AE$301,"&lt;"&amp;AE159,$AD$2:$AD$301,1)+COUNTIF($AE$2:AE159,AE159),"")</f>
        <v/>
      </c>
    </row>
    <row r="160">
      <c r="Y160" s="19" t="n"/>
      <c r="Z160" s="22" t="n"/>
      <c r="AA160" s="22" t="n"/>
      <c r="AB160" s="22" t="n"/>
      <c r="AC160" s="19" t="n"/>
      <c r="AD160" s="21">
        <f>IF(AE160="",0,1)</f>
        <v/>
      </c>
      <c r="AE160" s="21">
        <f>IFERROR(TRIM(INDEX($A160:$X160,MATCH(Lists!$F$2,$A$1:$X$1,0))&amp;""),"")</f>
        <v/>
      </c>
      <c r="AF160" s="21">
        <f>IF(AE160="","",IFERROR(TRIM(INDEX($A160:$X160,MATCH(Lists!$F$3,$A$1:$X$1,0))&amp;""),""))</f>
        <v/>
      </c>
      <c r="AG160" s="21">
        <f>IF(AE160="","",IFERROR(TRIM(INDEX($A160:$X160,MATCH(Lists!$F$4,$A$1:$X$1,0))&amp;""),""))</f>
        <v/>
      </c>
      <c r="AH160" s="21">
        <f>IF(AE160="","",LOWER(IFERROR(TRIM(INDEX($A160:$X160,MATCH(Lists!$F$5,$A$1:$X$1,0))&amp;""),"")))</f>
        <v/>
      </c>
      <c r="AI160" s="21">
        <f>IF(AE160="","",IFERROR(TRIM(INDEX($A160:$X160,MATCH(Lists!$F$6,$A$1:$X$1,0))&amp;""),""))</f>
        <v/>
      </c>
      <c r="AJ160" s="21">
        <f>IF(AE160="","",IF(LEFT(IFERROR(TRIM(INDEX($A160:$X160,MATCH(Lists!$F$7,$A$1:$X$1,0))&amp;""),""),3)="Yes","Yes","No"))</f>
        <v/>
      </c>
      <c r="AK160" s="21">
        <f>IF(AE160="","",IFERROR(TRIM(INDEX($A160:$X160,MATCH(Lists!$F$8,$A$1:$X$1,0))&amp;""),""))</f>
        <v/>
      </c>
      <c r="AL160" s="21">
        <f>IF(AE160="","",IFERROR(IF(TRIM(INDEX($A160:$X160,MATCH(Lists!$F$9,$A$1:$X$1,0))&amp;"")="","",VALUE(TRIM(INDEX($A160:$X160,MATCH(Lists!$F$9,$A$1:$X$1,0))&amp;""))),""))</f>
        <v/>
      </c>
      <c r="AM160" s="21">
        <f>IF(AE160="","",IFERROR(TRIM(INDEX($A160:$X160,MATCH(Lists!$F$10,$A$1:$X$1,0))&amp;""),""))</f>
        <v/>
      </c>
      <c r="AN160" s="21">
        <f>IF(AE160="","",IF(OR(AM160="Paid",AM160="Partially refunded"),"Paid",IF(Z160="Yes","Paid (by hand)",IF(AM160&lt;&gt;"",AM160,"Unpaid"))))</f>
        <v/>
      </c>
      <c r="AO160" s="21">
        <f>IF(AD160=1,COUNTIFS($AE$2:$AE$301,"&lt;"&amp;AE160,$AD$2:$AD$301,1)+COUNTIF($AE$2:AE160,AE160),"")</f>
        <v/>
      </c>
    </row>
    <row r="161">
      <c r="Y161" s="19" t="n"/>
      <c r="Z161" s="22" t="n"/>
      <c r="AA161" s="22" t="n"/>
      <c r="AB161" s="22" t="n"/>
      <c r="AC161" s="19" t="n"/>
      <c r="AD161" s="21">
        <f>IF(AE161="",0,1)</f>
        <v/>
      </c>
      <c r="AE161" s="21">
        <f>IFERROR(TRIM(INDEX($A161:$X161,MATCH(Lists!$F$2,$A$1:$X$1,0))&amp;""),"")</f>
        <v/>
      </c>
      <c r="AF161" s="21">
        <f>IF(AE161="","",IFERROR(TRIM(INDEX($A161:$X161,MATCH(Lists!$F$3,$A$1:$X$1,0))&amp;""),""))</f>
        <v/>
      </c>
      <c r="AG161" s="21">
        <f>IF(AE161="","",IFERROR(TRIM(INDEX($A161:$X161,MATCH(Lists!$F$4,$A$1:$X$1,0))&amp;""),""))</f>
        <v/>
      </c>
      <c r="AH161" s="21">
        <f>IF(AE161="","",LOWER(IFERROR(TRIM(INDEX($A161:$X161,MATCH(Lists!$F$5,$A$1:$X$1,0))&amp;""),"")))</f>
        <v/>
      </c>
      <c r="AI161" s="21">
        <f>IF(AE161="","",IFERROR(TRIM(INDEX($A161:$X161,MATCH(Lists!$F$6,$A$1:$X$1,0))&amp;""),""))</f>
        <v/>
      </c>
      <c r="AJ161" s="21">
        <f>IF(AE161="","",IF(LEFT(IFERROR(TRIM(INDEX($A161:$X161,MATCH(Lists!$F$7,$A$1:$X$1,0))&amp;""),""),3)="Yes","Yes","No"))</f>
        <v/>
      </c>
      <c r="AK161" s="21">
        <f>IF(AE161="","",IFERROR(TRIM(INDEX($A161:$X161,MATCH(Lists!$F$8,$A$1:$X$1,0))&amp;""),""))</f>
        <v/>
      </c>
      <c r="AL161" s="21">
        <f>IF(AE161="","",IFERROR(IF(TRIM(INDEX($A161:$X161,MATCH(Lists!$F$9,$A$1:$X$1,0))&amp;"")="","",VALUE(TRIM(INDEX($A161:$X161,MATCH(Lists!$F$9,$A$1:$X$1,0))&amp;""))),""))</f>
        <v/>
      </c>
      <c r="AM161" s="21">
        <f>IF(AE161="","",IFERROR(TRIM(INDEX($A161:$X161,MATCH(Lists!$F$10,$A$1:$X$1,0))&amp;""),""))</f>
        <v/>
      </c>
      <c r="AN161" s="21">
        <f>IF(AE161="","",IF(OR(AM161="Paid",AM161="Partially refunded"),"Paid",IF(Z161="Yes","Paid (by hand)",IF(AM161&lt;&gt;"",AM161,"Unpaid"))))</f>
        <v/>
      </c>
      <c r="AO161" s="21">
        <f>IF(AD161=1,COUNTIFS($AE$2:$AE$301,"&lt;"&amp;AE161,$AD$2:$AD$301,1)+COUNTIF($AE$2:AE161,AE161),"")</f>
        <v/>
      </c>
    </row>
    <row r="162">
      <c r="Y162" s="19" t="n"/>
      <c r="Z162" s="22" t="n"/>
      <c r="AA162" s="22" t="n"/>
      <c r="AB162" s="22" t="n"/>
      <c r="AC162" s="19" t="n"/>
      <c r="AD162" s="21">
        <f>IF(AE162="",0,1)</f>
        <v/>
      </c>
      <c r="AE162" s="21">
        <f>IFERROR(TRIM(INDEX($A162:$X162,MATCH(Lists!$F$2,$A$1:$X$1,0))&amp;""),"")</f>
        <v/>
      </c>
      <c r="AF162" s="21">
        <f>IF(AE162="","",IFERROR(TRIM(INDEX($A162:$X162,MATCH(Lists!$F$3,$A$1:$X$1,0))&amp;""),""))</f>
        <v/>
      </c>
      <c r="AG162" s="21">
        <f>IF(AE162="","",IFERROR(TRIM(INDEX($A162:$X162,MATCH(Lists!$F$4,$A$1:$X$1,0))&amp;""),""))</f>
        <v/>
      </c>
      <c r="AH162" s="21">
        <f>IF(AE162="","",LOWER(IFERROR(TRIM(INDEX($A162:$X162,MATCH(Lists!$F$5,$A$1:$X$1,0))&amp;""),"")))</f>
        <v/>
      </c>
      <c r="AI162" s="21">
        <f>IF(AE162="","",IFERROR(TRIM(INDEX($A162:$X162,MATCH(Lists!$F$6,$A$1:$X$1,0))&amp;""),""))</f>
        <v/>
      </c>
      <c r="AJ162" s="21">
        <f>IF(AE162="","",IF(LEFT(IFERROR(TRIM(INDEX($A162:$X162,MATCH(Lists!$F$7,$A$1:$X$1,0))&amp;""),""),3)="Yes","Yes","No"))</f>
        <v/>
      </c>
      <c r="AK162" s="21">
        <f>IF(AE162="","",IFERROR(TRIM(INDEX($A162:$X162,MATCH(Lists!$F$8,$A$1:$X$1,0))&amp;""),""))</f>
        <v/>
      </c>
      <c r="AL162" s="21">
        <f>IF(AE162="","",IFERROR(IF(TRIM(INDEX($A162:$X162,MATCH(Lists!$F$9,$A$1:$X$1,0))&amp;"")="","",VALUE(TRIM(INDEX($A162:$X162,MATCH(Lists!$F$9,$A$1:$X$1,0))&amp;""))),""))</f>
        <v/>
      </c>
      <c r="AM162" s="21">
        <f>IF(AE162="","",IFERROR(TRIM(INDEX($A162:$X162,MATCH(Lists!$F$10,$A$1:$X$1,0))&amp;""),""))</f>
        <v/>
      </c>
      <c r="AN162" s="21">
        <f>IF(AE162="","",IF(OR(AM162="Paid",AM162="Partially refunded"),"Paid",IF(Z162="Yes","Paid (by hand)",IF(AM162&lt;&gt;"",AM162,"Unpaid"))))</f>
        <v/>
      </c>
      <c r="AO162" s="21">
        <f>IF(AD162=1,COUNTIFS($AE$2:$AE$301,"&lt;"&amp;AE162,$AD$2:$AD$301,1)+COUNTIF($AE$2:AE162,AE162),"")</f>
        <v/>
      </c>
    </row>
    <row r="163">
      <c r="Y163" s="19" t="n"/>
      <c r="Z163" s="22" t="n"/>
      <c r="AA163" s="22" t="n"/>
      <c r="AB163" s="22" t="n"/>
      <c r="AC163" s="19" t="n"/>
      <c r="AD163" s="21">
        <f>IF(AE163="",0,1)</f>
        <v/>
      </c>
      <c r="AE163" s="21">
        <f>IFERROR(TRIM(INDEX($A163:$X163,MATCH(Lists!$F$2,$A$1:$X$1,0))&amp;""),"")</f>
        <v/>
      </c>
      <c r="AF163" s="21">
        <f>IF(AE163="","",IFERROR(TRIM(INDEX($A163:$X163,MATCH(Lists!$F$3,$A$1:$X$1,0))&amp;""),""))</f>
        <v/>
      </c>
      <c r="AG163" s="21">
        <f>IF(AE163="","",IFERROR(TRIM(INDEX($A163:$X163,MATCH(Lists!$F$4,$A$1:$X$1,0))&amp;""),""))</f>
        <v/>
      </c>
      <c r="AH163" s="21">
        <f>IF(AE163="","",LOWER(IFERROR(TRIM(INDEX($A163:$X163,MATCH(Lists!$F$5,$A$1:$X$1,0))&amp;""),"")))</f>
        <v/>
      </c>
      <c r="AI163" s="21">
        <f>IF(AE163="","",IFERROR(TRIM(INDEX($A163:$X163,MATCH(Lists!$F$6,$A$1:$X$1,0))&amp;""),""))</f>
        <v/>
      </c>
      <c r="AJ163" s="21">
        <f>IF(AE163="","",IF(LEFT(IFERROR(TRIM(INDEX($A163:$X163,MATCH(Lists!$F$7,$A$1:$X$1,0))&amp;""),""),3)="Yes","Yes","No"))</f>
        <v/>
      </c>
      <c r="AK163" s="21">
        <f>IF(AE163="","",IFERROR(TRIM(INDEX($A163:$X163,MATCH(Lists!$F$8,$A$1:$X$1,0))&amp;""),""))</f>
        <v/>
      </c>
      <c r="AL163" s="21">
        <f>IF(AE163="","",IFERROR(IF(TRIM(INDEX($A163:$X163,MATCH(Lists!$F$9,$A$1:$X$1,0))&amp;"")="","",VALUE(TRIM(INDEX($A163:$X163,MATCH(Lists!$F$9,$A$1:$X$1,0))&amp;""))),""))</f>
        <v/>
      </c>
      <c r="AM163" s="21">
        <f>IF(AE163="","",IFERROR(TRIM(INDEX($A163:$X163,MATCH(Lists!$F$10,$A$1:$X$1,0))&amp;""),""))</f>
        <v/>
      </c>
      <c r="AN163" s="21">
        <f>IF(AE163="","",IF(OR(AM163="Paid",AM163="Partially refunded"),"Paid",IF(Z163="Yes","Paid (by hand)",IF(AM163&lt;&gt;"",AM163,"Unpaid"))))</f>
        <v/>
      </c>
      <c r="AO163" s="21">
        <f>IF(AD163=1,COUNTIFS($AE$2:$AE$301,"&lt;"&amp;AE163,$AD$2:$AD$301,1)+COUNTIF($AE$2:AE163,AE163),"")</f>
        <v/>
      </c>
    </row>
    <row r="164">
      <c r="Y164" s="19" t="n"/>
      <c r="Z164" s="22" t="n"/>
      <c r="AA164" s="22" t="n"/>
      <c r="AB164" s="22" t="n"/>
      <c r="AC164" s="19" t="n"/>
      <c r="AD164" s="21">
        <f>IF(AE164="",0,1)</f>
        <v/>
      </c>
      <c r="AE164" s="21">
        <f>IFERROR(TRIM(INDEX($A164:$X164,MATCH(Lists!$F$2,$A$1:$X$1,0))&amp;""),"")</f>
        <v/>
      </c>
      <c r="AF164" s="21">
        <f>IF(AE164="","",IFERROR(TRIM(INDEX($A164:$X164,MATCH(Lists!$F$3,$A$1:$X$1,0))&amp;""),""))</f>
        <v/>
      </c>
      <c r="AG164" s="21">
        <f>IF(AE164="","",IFERROR(TRIM(INDEX($A164:$X164,MATCH(Lists!$F$4,$A$1:$X$1,0))&amp;""),""))</f>
        <v/>
      </c>
      <c r="AH164" s="21">
        <f>IF(AE164="","",LOWER(IFERROR(TRIM(INDEX($A164:$X164,MATCH(Lists!$F$5,$A$1:$X$1,0))&amp;""),"")))</f>
        <v/>
      </c>
      <c r="AI164" s="21">
        <f>IF(AE164="","",IFERROR(TRIM(INDEX($A164:$X164,MATCH(Lists!$F$6,$A$1:$X$1,0))&amp;""),""))</f>
        <v/>
      </c>
      <c r="AJ164" s="21">
        <f>IF(AE164="","",IF(LEFT(IFERROR(TRIM(INDEX($A164:$X164,MATCH(Lists!$F$7,$A$1:$X$1,0))&amp;""),""),3)="Yes","Yes","No"))</f>
        <v/>
      </c>
      <c r="AK164" s="21">
        <f>IF(AE164="","",IFERROR(TRIM(INDEX($A164:$X164,MATCH(Lists!$F$8,$A$1:$X$1,0))&amp;""),""))</f>
        <v/>
      </c>
      <c r="AL164" s="21">
        <f>IF(AE164="","",IFERROR(IF(TRIM(INDEX($A164:$X164,MATCH(Lists!$F$9,$A$1:$X$1,0))&amp;"")="","",VALUE(TRIM(INDEX($A164:$X164,MATCH(Lists!$F$9,$A$1:$X$1,0))&amp;""))),""))</f>
        <v/>
      </c>
      <c r="AM164" s="21">
        <f>IF(AE164="","",IFERROR(TRIM(INDEX($A164:$X164,MATCH(Lists!$F$10,$A$1:$X$1,0))&amp;""),""))</f>
        <v/>
      </c>
      <c r="AN164" s="21">
        <f>IF(AE164="","",IF(OR(AM164="Paid",AM164="Partially refunded"),"Paid",IF(Z164="Yes","Paid (by hand)",IF(AM164&lt;&gt;"",AM164,"Unpaid"))))</f>
        <v/>
      </c>
      <c r="AO164" s="21">
        <f>IF(AD164=1,COUNTIFS($AE$2:$AE$301,"&lt;"&amp;AE164,$AD$2:$AD$301,1)+COUNTIF($AE$2:AE164,AE164),"")</f>
        <v/>
      </c>
    </row>
    <row r="165">
      <c r="Y165" s="19" t="n"/>
      <c r="Z165" s="22" t="n"/>
      <c r="AA165" s="22" t="n"/>
      <c r="AB165" s="22" t="n"/>
      <c r="AC165" s="19" t="n"/>
      <c r="AD165" s="21">
        <f>IF(AE165="",0,1)</f>
        <v/>
      </c>
      <c r="AE165" s="21">
        <f>IFERROR(TRIM(INDEX($A165:$X165,MATCH(Lists!$F$2,$A$1:$X$1,0))&amp;""),"")</f>
        <v/>
      </c>
      <c r="AF165" s="21">
        <f>IF(AE165="","",IFERROR(TRIM(INDEX($A165:$X165,MATCH(Lists!$F$3,$A$1:$X$1,0))&amp;""),""))</f>
        <v/>
      </c>
      <c r="AG165" s="21">
        <f>IF(AE165="","",IFERROR(TRIM(INDEX($A165:$X165,MATCH(Lists!$F$4,$A$1:$X$1,0))&amp;""),""))</f>
        <v/>
      </c>
      <c r="AH165" s="21">
        <f>IF(AE165="","",LOWER(IFERROR(TRIM(INDEX($A165:$X165,MATCH(Lists!$F$5,$A$1:$X$1,0))&amp;""),"")))</f>
        <v/>
      </c>
      <c r="AI165" s="21">
        <f>IF(AE165="","",IFERROR(TRIM(INDEX($A165:$X165,MATCH(Lists!$F$6,$A$1:$X$1,0))&amp;""),""))</f>
        <v/>
      </c>
      <c r="AJ165" s="21">
        <f>IF(AE165="","",IF(LEFT(IFERROR(TRIM(INDEX($A165:$X165,MATCH(Lists!$F$7,$A$1:$X$1,0))&amp;""),""),3)="Yes","Yes","No"))</f>
        <v/>
      </c>
      <c r="AK165" s="21">
        <f>IF(AE165="","",IFERROR(TRIM(INDEX($A165:$X165,MATCH(Lists!$F$8,$A$1:$X$1,0))&amp;""),""))</f>
        <v/>
      </c>
      <c r="AL165" s="21">
        <f>IF(AE165="","",IFERROR(IF(TRIM(INDEX($A165:$X165,MATCH(Lists!$F$9,$A$1:$X$1,0))&amp;"")="","",VALUE(TRIM(INDEX($A165:$X165,MATCH(Lists!$F$9,$A$1:$X$1,0))&amp;""))),""))</f>
        <v/>
      </c>
      <c r="AM165" s="21">
        <f>IF(AE165="","",IFERROR(TRIM(INDEX($A165:$X165,MATCH(Lists!$F$10,$A$1:$X$1,0))&amp;""),""))</f>
        <v/>
      </c>
      <c r="AN165" s="21">
        <f>IF(AE165="","",IF(OR(AM165="Paid",AM165="Partially refunded"),"Paid",IF(Z165="Yes","Paid (by hand)",IF(AM165&lt;&gt;"",AM165,"Unpaid"))))</f>
        <v/>
      </c>
      <c r="AO165" s="21">
        <f>IF(AD165=1,COUNTIFS($AE$2:$AE$301,"&lt;"&amp;AE165,$AD$2:$AD$301,1)+COUNTIF($AE$2:AE165,AE165),"")</f>
        <v/>
      </c>
    </row>
    <row r="166">
      <c r="Y166" s="19" t="n"/>
      <c r="Z166" s="22" t="n"/>
      <c r="AA166" s="22" t="n"/>
      <c r="AB166" s="22" t="n"/>
      <c r="AC166" s="19" t="n"/>
      <c r="AD166" s="21">
        <f>IF(AE166="",0,1)</f>
        <v/>
      </c>
      <c r="AE166" s="21">
        <f>IFERROR(TRIM(INDEX($A166:$X166,MATCH(Lists!$F$2,$A$1:$X$1,0))&amp;""),"")</f>
        <v/>
      </c>
      <c r="AF166" s="21">
        <f>IF(AE166="","",IFERROR(TRIM(INDEX($A166:$X166,MATCH(Lists!$F$3,$A$1:$X$1,0))&amp;""),""))</f>
        <v/>
      </c>
      <c r="AG166" s="21">
        <f>IF(AE166="","",IFERROR(TRIM(INDEX($A166:$X166,MATCH(Lists!$F$4,$A$1:$X$1,0))&amp;""),""))</f>
        <v/>
      </c>
      <c r="AH166" s="21">
        <f>IF(AE166="","",LOWER(IFERROR(TRIM(INDEX($A166:$X166,MATCH(Lists!$F$5,$A$1:$X$1,0))&amp;""),"")))</f>
        <v/>
      </c>
      <c r="AI166" s="21">
        <f>IF(AE166="","",IFERROR(TRIM(INDEX($A166:$X166,MATCH(Lists!$F$6,$A$1:$X$1,0))&amp;""),""))</f>
        <v/>
      </c>
      <c r="AJ166" s="21">
        <f>IF(AE166="","",IF(LEFT(IFERROR(TRIM(INDEX($A166:$X166,MATCH(Lists!$F$7,$A$1:$X$1,0))&amp;""),""),3)="Yes","Yes","No"))</f>
        <v/>
      </c>
      <c r="AK166" s="21">
        <f>IF(AE166="","",IFERROR(TRIM(INDEX($A166:$X166,MATCH(Lists!$F$8,$A$1:$X$1,0))&amp;""),""))</f>
        <v/>
      </c>
      <c r="AL166" s="21">
        <f>IF(AE166="","",IFERROR(IF(TRIM(INDEX($A166:$X166,MATCH(Lists!$F$9,$A$1:$X$1,0))&amp;"")="","",VALUE(TRIM(INDEX($A166:$X166,MATCH(Lists!$F$9,$A$1:$X$1,0))&amp;""))),""))</f>
        <v/>
      </c>
      <c r="AM166" s="21">
        <f>IF(AE166="","",IFERROR(TRIM(INDEX($A166:$X166,MATCH(Lists!$F$10,$A$1:$X$1,0))&amp;""),""))</f>
        <v/>
      </c>
      <c r="AN166" s="21">
        <f>IF(AE166="","",IF(OR(AM166="Paid",AM166="Partially refunded"),"Paid",IF(Z166="Yes","Paid (by hand)",IF(AM166&lt;&gt;"",AM166,"Unpaid"))))</f>
        <v/>
      </c>
      <c r="AO166" s="21">
        <f>IF(AD166=1,COUNTIFS($AE$2:$AE$301,"&lt;"&amp;AE166,$AD$2:$AD$301,1)+COUNTIF($AE$2:AE166,AE166),"")</f>
        <v/>
      </c>
    </row>
    <row r="167">
      <c r="Y167" s="19" t="n"/>
      <c r="Z167" s="22" t="n"/>
      <c r="AA167" s="22" t="n"/>
      <c r="AB167" s="22" t="n"/>
      <c r="AC167" s="19" t="n"/>
      <c r="AD167" s="21">
        <f>IF(AE167="",0,1)</f>
        <v/>
      </c>
      <c r="AE167" s="21">
        <f>IFERROR(TRIM(INDEX($A167:$X167,MATCH(Lists!$F$2,$A$1:$X$1,0))&amp;""),"")</f>
        <v/>
      </c>
      <c r="AF167" s="21">
        <f>IF(AE167="","",IFERROR(TRIM(INDEX($A167:$X167,MATCH(Lists!$F$3,$A$1:$X$1,0))&amp;""),""))</f>
        <v/>
      </c>
      <c r="AG167" s="21">
        <f>IF(AE167="","",IFERROR(TRIM(INDEX($A167:$X167,MATCH(Lists!$F$4,$A$1:$X$1,0))&amp;""),""))</f>
        <v/>
      </c>
      <c r="AH167" s="21">
        <f>IF(AE167="","",LOWER(IFERROR(TRIM(INDEX($A167:$X167,MATCH(Lists!$F$5,$A$1:$X$1,0))&amp;""),"")))</f>
        <v/>
      </c>
      <c r="AI167" s="21">
        <f>IF(AE167="","",IFERROR(TRIM(INDEX($A167:$X167,MATCH(Lists!$F$6,$A$1:$X$1,0))&amp;""),""))</f>
        <v/>
      </c>
      <c r="AJ167" s="21">
        <f>IF(AE167="","",IF(LEFT(IFERROR(TRIM(INDEX($A167:$X167,MATCH(Lists!$F$7,$A$1:$X$1,0))&amp;""),""),3)="Yes","Yes","No"))</f>
        <v/>
      </c>
      <c r="AK167" s="21">
        <f>IF(AE167="","",IFERROR(TRIM(INDEX($A167:$X167,MATCH(Lists!$F$8,$A$1:$X$1,0))&amp;""),""))</f>
        <v/>
      </c>
      <c r="AL167" s="21">
        <f>IF(AE167="","",IFERROR(IF(TRIM(INDEX($A167:$X167,MATCH(Lists!$F$9,$A$1:$X$1,0))&amp;"")="","",VALUE(TRIM(INDEX($A167:$X167,MATCH(Lists!$F$9,$A$1:$X$1,0))&amp;""))),""))</f>
        <v/>
      </c>
      <c r="AM167" s="21">
        <f>IF(AE167="","",IFERROR(TRIM(INDEX($A167:$X167,MATCH(Lists!$F$10,$A$1:$X$1,0))&amp;""),""))</f>
        <v/>
      </c>
      <c r="AN167" s="21">
        <f>IF(AE167="","",IF(OR(AM167="Paid",AM167="Partially refunded"),"Paid",IF(Z167="Yes","Paid (by hand)",IF(AM167&lt;&gt;"",AM167,"Unpaid"))))</f>
        <v/>
      </c>
      <c r="AO167" s="21">
        <f>IF(AD167=1,COUNTIFS($AE$2:$AE$301,"&lt;"&amp;AE167,$AD$2:$AD$301,1)+COUNTIF($AE$2:AE167,AE167),"")</f>
        <v/>
      </c>
    </row>
    <row r="168">
      <c r="Y168" s="19" t="n"/>
      <c r="Z168" s="22" t="n"/>
      <c r="AA168" s="22" t="n"/>
      <c r="AB168" s="22" t="n"/>
      <c r="AC168" s="19" t="n"/>
      <c r="AD168" s="21">
        <f>IF(AE168="",0,1)</f>
        <v/>
      </c>
      <c r="AE168" s="21">
        <f>IFERROR(TRIM(INDEX($A168:$X168,MATCH(Lists!$F$2,$A$1:$X$1,0))&amp;""),"")</f>
        <v/>
      </c>
      <c r="AF168" s="21">
        <f>IF(AE168="","",IFERROR(TRIM(INDEX($A168:$X168,MATCH(Lists!$F$3,$A$1:$X$1,0))&amp;""),""))</f>
        <v/>
      </c>
      <c r="AG168" s="21">
        <f>IF(AE168="","",IFERROR(TRIM(INDEX($A168:$X168,MATCH(Lists!$F$4,$A$1:$X$1,0))&amp;""),""))</f>
        <v/>
      </c>
      <c r="AH168" s="21">
        <f>IF(AE168="","",LOWER(IFERROR(TRIM(INDEX($A168:$X168,MATCH(Lists!$F$5,$A$1:$X$1,0))&amp;""),"")))</f>
        <v/>
      </c>
      <c r="AI168" s="21">
        <f>IF(AE168="","",IFERROR(TRIM(INDEX($A168:$X168,MATCH(Lists!$F$6,$A$1:$X$1,0))&amp;""),""))</f>
        <v/>
      </c>
      <c r="AJ168" s="21">
        <f>IF(AE168="","",IF(LEFT(IFERROR(TRIM(INDEX($A168:$X168,MATCH(Lists!$F$7,$A$1:$X$1,0))&amp;""),""),3)="Yes","Yes","No"))</f>
        <v/>
      </c>
      <c r="AK168" s="21">
        <f>IF(AE168="","",IFERROR(TRIM(INDEX($A168:$X168,MATCH(Lists!$F$8,$A$1:$X$1,0))&amp;""),""))</f>
        <v/>
      </c>
      <c r="AL168" s="21">
        <f>IF(AE168="","",IFERROR(IF(TRIM(INDEX($A168:$X168,MATCH(Lists!$F$9,$A$1:$X$1,0))&amp;"")="","",VALUE(TRIM(INDEX($A168:$X168,MATCH(Lists!$F$9,$A$1:$X$1,0))&amp;""))),""))</f>
        <v/>
      </c>
      <c r="AM168" s="21">
        <f>IF(AE168="","",IFERROR(TRIM(INDEX($A168:$X168,MATCH(Lists!$F$10,$A$1:$X$1,0))&amp;""),""))</f>
        <v/>
      </c>
      <c r="AN168" s="21">
        <f>IF(AE168="","",IF(OR(AM168="Paid",AM168="Partially refunded"),"Paid",IF(Z168="Yes","Paid (by hand)",IF(AM168&lt;&gt;"",AM168,"Unpaid"))))</f>
        <v/>
      </c>
      <c r="AO168" s="21">
        <f>IF(AD168=1,COUNTIFS($AE$2:$AE$301,"&lt;"&amp;AE168,$AD$2:$AD$301,1)+COUNTIF($AE$2:AE168,AE168),"")</f>
        <v/>
      </c>
    </row>
    <row r="169">
      <c r="Y169" s="19" t="n"/>
      <c r="Z169" s="22" t="n"/>
      <c r="AA169" s="22" t="n"/>
      <c r="AB169" s="22" t="n"/>
      <c r="AC169" s="19" t="n"/>
      <c r="AD169" s="21">
        <f>IF(AE169="",0,1)</f>
        <v/>
      </c>
      <c r="AE169" s="21">
        <f>IFERROR(TRIM(INDEX($A169:$X169,MATCH(Lists!$F$2,$A$1:$X$1,0))&amp;""),"")</f>
        <v/>
      </c>
      <c r="AF169" s="21">
        <f>IF(AE169="","",IFERROR(TRIM(INDEX($A169:$X169,MATCH(Lists!$F$3,$A$1:$X$1,0))&amp;""),""))</f>
        <v/>
      </c>
      <c r="AG169" s="21">
        <f>IF(AE169="","",IFERROR(TRIM(INDEX($A169:$X169,MATCH(Lists!$F$4,$A$1:$X$1,0))&amp;""),""))</f>
        <v/>
      </c>
      <c r="AH169" s="21">
        <f>IF(AE169="","",LOWER(IFERROR(TRIM(INDEX($A169:$X169,MATCH(Lists!$F$5,$A$1:$X$1,0))&amp;""),"")))</f>
        <v/>
      </c>
      <c r="AI169" s="21">
        <f>IF(AE169="","",IFERROR(TRIM(INDEX($A169:$X169,MATCH(Lists!$F$6,$A$1:$X$1,0))&amp;""),""))</f>
        <v/>
      </c>
      <c r="AJ169" s="21">
        <f>IF(AE169="","",IF(LEFT(IFERROR(TRIM(INDEX($A169:$X169,MATCH(Lists!$F$7,$A$1:$X$1,0))&amp;""),""),3)="Yes","Yes","No"))</f>
        <v/>
      </c>
      <c r="AK169" s="21">
        <f>IF(AE169="","",IFERROR(TRIM(INDEX($A169:$X169,MATCH(Lists!$F$8,$A$1:$X$1,0))&amp;""),""))</f>
        <v/>
      </c>
      <c r="AL169" s="21">
        <f>IF(AE169="","",IFERROR(IF(TRIM(INDEX($A169:$X169,MATCH(Lists!$F$9,$A$1:$X$1,0))&amp;"")="","",VALUE(TRIM(INDEX($A169:$X169,MATCH(Lists!$F$9,$A$1:$X$1,0))&amp;""))),""))</f>
        <v/>
      </c>
      <c r="AM169" s="21">
        <f>IF(AE169="","",IFERROR(TRIM(INDEX($A169:$X169,MATCH(Lists!$F$10,$A$1:$X$1,0))&amp;""),""))</f>
        <v/>
      </c>
      <c r="AN169" s="21">
        <f>IF(AE169="","",IF(OR(AM169="Paid",AM169="Partially refunded"),"Paid",IF(Z169="Yes","Paid (by hand)",IF(AM169&lt;&gt;"",AM169,"Unpaid"))))</f>
        <v/>
      </c>
      <c r="AO169" s="21">
        <f>IF(AD169=1,COUNTIFS($AE$2:$AE$301,"&lt;"&amp;AE169,$AD$2:$AD$301,1)+COUNTIF($AE$2:AE169,AE169),"")</f>
        <v/>
      </c>
    </row>
    <row r="170">
      <c r="Y170" s="19" t="n"/>
      <c r="Z170" s="22" t="n"/>
      <c r="AA170" s="22" t="n"/>
      <c r="AB170" s="22" t="n"/>
      <c r="AC170" s="19" t="n"/>
      <c r="AD170" s="21">
        <f>IF(AE170="",0,1)</f>
        <v/>
      </c>
      <c r="AE170" s="21">
        <f>IFERROR(TRIM(INDEX($A170:$X170,MATCH(Lists!$F$2,$A$1:$X$1,0))&amp;""),"")</f>
        <v/>
      </c>
      <c r="AF170" s="21">
        <f>IF(AE170="","",IFERROR(TRIM(INDEX($A170:$X170,MATCH(Lists!$F$3,$A$1:$X$1,0))&amp;""),""))</f>
        <v/>
      </c>
      <c r="AG170" s="21">
        <f>IF(AE170="","",IFERROR(TRIM(INDEX($A170:$X170,MATCH(Lists!$F$4,$A$1:$X$1,0))&amp;""),""))</f>
        <v/>
      </c>
      <c r="AH170" s="21">
        <f>IF(AE170="","",LOWER(IFERROR(TRIM(INDEX($A170:$X170,MATCH(Lists!$F$5,$A$1:$X$1,0))&amp;""),"")))</f>
        <v/>
      </c>
      <c r="AI170" s="21">
        <f>IF(AE170="","",IFERROR(TRIM(INDEX($A170:$X170,MATCH(Lists!$F$6,$A$1:$X$1,0))&amp;""),""))</f>
        <v/>
      </c>
      <c r="AJ170" s="21">
        <f>IF(AE170="","",IF(LEFT(IFERROR(TRIM(INDEX($A170:$X170,MATCH(Lists!$F$7,$A$1:$X$1,0))&amp;""),""),3)="Yes","Yes","No"))</f>
        <v/>
      </c>
      <c r="AK170" s="21">
        <f>IF(AE170="","",IFERROR(TRIM(INDEX($A170:$X170,MATCH(Lists!$F$8,$A$1:$X$1,0))&amp;""),""))</f>
        <v/>
      </c>
      <c r="AL170" s="21">
        <f>IF(AE170="","",IFERROR(IF(TRIM(INDEX($A170:$X170,MATCH(Lists!$F$9,$A$1:$X$1,0))&amp;"")="","",VALUE(TRIM(INDEX($A170:$X170,MATCH(Lists!$F$9,$A$1:$X$1,0))&amp;""))),""))</f>
        <v/>
      </c>
      <c r="AM170" s="21">
        <f>IF(AE170="","",IFERROR(TRIM(INDEX($A170:$X170,MATCH(Lists!$F$10,$A$1:$X$1,0))&amp;""),""))</f>
        <v/>
      </c>
      <c r="AN170" s="21">
        <f>IF(AE170="","",IF(OR(AM170="Paid",AM170="Partially refunded"),"Paid",IF(Z170="Yes","Paid (by hand)",IF(AM170&lt;&gt;"",AM170,"Unpaid"))))</f>
        <v/>
      </c>
      <c r="AO170" s="21">
        <f>IF(AD170=1,COUNTIFS($AE$2:$AE$301,"&lt;"&amp;AE170,$AD$2:$AD$301,1)+COUNTIF($AE$2:AE170,AE170),"")</f>
        <v/>
      </c>
    </row>
    <row r="171">
      <c r="Y171" s="19" t="n"/>
      <c r="Z171" s="22" t="n"/>
      <c r="AA171" s="22" t="n"/>
      <c r="AB171" s="22" t="n"/>
      <c r="AC171" s="19" t="n"/>
      <c r="AD171" s="21">
        <f>IF(AE171="",0,1)</f>
        <v/>
      </c>
      <c r="AE171" s="21">
        <f>IFERROR(TRIM(INDEX($A171:$X171,MATCH(Lists!$F$2,$A$1:$X$1,0))&amp;""),"")</f>
        <v/>
      </c>
      <c r="AF171" s="21">
        <f>IF(AE171="","",IFERROR(TRIM(INDEX($A171:$X171,MATCH(Lists!$F$3,$A$1:$X$1,0))&amp;""),""))</f>
        <v/>
      </c>
      <c r="AG171" s="21">
        <f>IF(AE171="","",IFERROR(TRIM(INDEX($A171:$X171,MATCH(Lists!$F$4,$A$1:$X$1,0))&amp;""),""))</f>
        <v/>
      </c>
      <c r="AH171" s="21">
        <f>IF(AE171="","",LOWER(IFERROR(TRIM(INDEX($A171:$X171,MATCH(Lists!$F$5,$A$1:$X$1,0))&amp;""),"")))</f>
        <v/>
      </c>
      <c r="AI171" s="21">
        <f>IF(AE171="","",IFERROR(TRIM(INDEX($A171:$X171,MATCH(Lists!$F$6,$A$1:$X$1,0))&amp;""),""))</f>
        <v/>
      </c>
      <c r="AJ171" s="21">
        <f>IF(AE171="","",IF(LEFT(IFERROR(TRIM(INDEX($A171:$X171,MATCH(Lists!$F$7,$A$1:$X$1,0))&amp;""),""),3)="Yes","Yes","No"))</f>
        <v/>
      </c>
      <c r="AK171" s="21">
        <f>IF(AE171="","",IFERROR(TRIM(INDEX($A171:$X171,MATCH(Lists!$F$8,$A$1:$X$1,0))&amp;""),""))</f>
        <v/>
      </c>
      <c r="AL171" s="21">
        <f>IF(AE171="","",IFERROR(IF(TRIM(INDEX($A171:$X171,MATCH(Lists!$F$9,$A$1:$X$1,0))&amp;"")="","",VALUE(TRIM(INDEX($A171:$X171,MATCH(Lists!$F$9,$A$1:$X$1,0))&amp;""))),""))</f>
        <v/>
      </c>
      <c r="AM171" s="21">
        <f>IF(AE171="","",IFERROR(TRIM(INDEX($A171:$X171,MATCH(Lists!$F$10,$A$1:$X$1,0))&amp;""),""))</f>
        <v/>
      </c>
      <c r="AN171" s="21">
        <f>IF(AE171="","",IF(OR(AM171="Paid",AM171="Partially refunded"),"Paid",IF(Z171="Yes","Paid (by hand)",IF(AM171&lt;&gt;"",AM171,"Unpaid"))))</f>
        <v/>
      </c>
      <c r="AO171" s="21">
        <f>IF(AD171=1,COUNTIFS($AE$2:$AE$301,"&lt;"&amp;AE171,$AD$2:$AD$301,1)+COUNTIF($AE$2:AE171,AE171),"")</f>
        <v/>
      </c>
    </row>
    <row r="172">
      <c r="Y172" s="19" t="n"/>
      <c r="Z172" s="22" t="n"/>
      <c r="AA172" s="22" t="n"/>
      <c r="AB172" s="22" t="n"/>
      <c r="AC172" s="19" t="n"/>
      <c r="AD172" s="21">
        <f>IF(AE172="",0,1)</f>
        <v/>
      </c>
      <c r="AE172" s="21">
        <f>IFERROR(TRIM(INDEX($A172:$X172,MATCH(Lists!$F$2,$A$1:$X$1,0))&amp;""),"")</f>
        <v/>
      </c>
      <c r="AF172" s="21">
        <f>IF(AE172="","",IFERROR(TRIM(INDEX($A172:$X172,MATCH(Lists!$F$3,$A$1:$X$1,0))&amp;""),""))</f>
        <v/>
      </c>
      <c r="AG172" s="21">
        <f>IF(AE172="","",IFERROR(TRIM(INDEX($A172:$X172,MATCH(Lists!$F$4,$A$1:$X$1,0))&amp;""),""))</f>
        <v/>
      </c>
      <c r="AH172" s="21">
        <f>IF(AE172="","",LOWER(IFERROR(TRIM(INDEX($A172:$X172,MATCH(Lists!$F$5,$A$1:$X$1,0))&amp;""),"")))</f>
        <v/>
      </c>
      <c r="AI172" s="21">
        <f>IF(AE172="","",IFERROR(TRIM(INDEX($A172:$X172,MATCH(Lists!$F$6,$A$1:$X$1,0))&amp;""),""))</f>
        <v/>
      </c>
      <c r="AJ172" s="21">
        <f>IF(AE172="","",IF(LEFT(IFERROR(TRIM(INDEX($A172:$X172,MATCH(Lists!$F$7,$A$1:$X$1,0))&amp;""),""),3)="Yes","Yes","No"))</f>
        <v/>
      </c>
      <c r="AK172" s="21">
        <f>IF(AE172="","",IFERROR(TRIM(INDEX($A172:$X172,MATCH(Lists!$F$8,$A$1:$X$1,0))&amp;""),""))</f>
        <v/>
      </c>
      <c r="AL172" s="21">
        <f>IF(AE172="","",IFERROR(IF(TRIM(INDEX($A172:$X172,MATCH(Lists!$F$9,$A$1:$X$1,0))&amp;"")="","",VALUE(TRIM(INDEX($A172:$X172,MATCH(Lists!$F$9,$A$1:$X$1,0))&amp;""))),""))</f>
        <v/>
      </c>
      <c r="AM172" s="21">
        <f>IF(AE172="","",IFERROR(TRIM(INDEX($A172:$X172,MATCH(Lists!$F$10,$A$1:$X$1,0))&amp;""),""))</f>
        <v/>
      </c>
      <c r="AN172" s="21">
        <f>IF(AE172="","",IF(OR(AM172="Paid",AM172="Partially refunded"),"Paid",IF(Z172="Yes","Paid (by hand)",IF(AM172&lt;&gt;"",AM172,"Unpaid"))))</f>
        <v/>
      </c>
      <c r="AO172" s="21">
        <f>IF(AD172=1,COUNTIFS($AE$2:$AE$301,"&lt;"&amp;AE172,$AD$2:$AD$301,1)+COUNTIF($AE$2:AE172,AE172),"")</f>
        <v/>
      </c>
    </row>
    <row r="173">
      <c r="Y173" s="19" t="n"/>
      <c r="Z173" s="22" t="n"/>
      <c r="AA173" s="22" t="n"/>
      <c r="AB173" s="22" t="n"/>
      <c r="AC173" s="19" t="n"/>
      <c r="AD173" s="21">
        <f>IF(AE173="",0,1)</f>
        <v/>
      </c>
      <c r="AE173" s="21">
        <f>IFERROR(TRIM(INDEX($A173:$X173,MATCH(Lists!$F$2,$A$1:$X$1,0))&amp;""),"")</f>
        <v/>
      </c>
      <c r="AF173" s="21">
        <f>IF(AE173="","",IFERROR(TRIM(INDEX($A173:$X173,MATCH(Lists!$F$3,$A$1:$X$1,0))&amp;""),""))</f>
        <v/>
      </c>
      <c r="AG173" s="21">
        <f>IF(AE173="","",IFERROR(TRIM(INDEX($A173:$X173,MATCH(Lists!$F$4,$A$1:$X$1,0))&amp;""),""))</f>
        <v/>
      </c>
      <c r="AH173" s="21">
        <f>IF(AE173="","",LOWER(IFERROR(TRIM(INDEX($A173:$X173,MATCH(Lists!$F$5,$A$1:$X$1,0))&amp;""),"")))</f>
        <v/>
      </c>
      <c r="AI173" s="21">
        <f>IF(AE173="","",IFERROR(TRIM(INDEX($A173:$X173,MATCH(Lists!$F$6,$A$1:$X$1,0))&amp;""),""))</f>
        <v/>
      </c>
      <c r="AJ173" s="21">
        <f>IF(AE173="","",IF(LEFT(IFERROR(TRIM(INDEX($A173:$X173,MATCH(Lists!$F$7,$A$1:$X$1,0))&amp;""),""),3)="Yes","Yes","No"))</f>
        <v/>
      </c>
      <c r="AK173" s="21">
        <f>IF(AE173="","",IFERROR(TRIM(INDEX($A173:$X173,MATCH(Lists!$F$8,$A$1:$X$1,0))&amp;""),""))</f>
        <v/>
      </c>
      <c r="AL173" s="21">
        <f>IF(AE173="","",IFERROR(IF(TRIM(INDEX($A173:$X173,MATCH(Lists!$F$9,$A$1:$X$1,0))&amp;"")="","",VALUE(TRIM(INDEX($A173:$X173,MATCH(Lists!$F$9,$A$1:$X$1,0))&amp;""))),""))</f>
        <v/>
      </c>
      <c r="AM173" s="21">
        <f>IF(AE173="","",IFERROR(TRIM(INDEX($A173:$X173,MATCH(Lists!$F$10,$A$1:$X$1,0))&amp;""),""))</f>
        <v/>
      </c>
      <c r="AN173" s="21">
        <f>IF(AE173="","",IF(OR(AM173="Paid",AM173="Partially refunded"),"Paid",IF(Z173="Yes","Paid (by hand)",IF(AM173&lt;&gt;"",AM173,"Unpaid"))))</f>
        <v/>
      </c>
      <c r="AO173" s="21">
        <f>IF(AD173=1,COUNTIFS($AE$2:$AE$301,"&lt;"&amp;AE173,$AD$2:$AD$301,1)+COUNTIF($AE$2:AE173,AE173),"")</f>
        <v/>
      </c>
    </row>
    <row r="174">
      <c r="Y174" s="19" t="n"/>
      <c r="Z174" s="22" t="n"/>
      <c r="AA174" s="22" t="n"/>
      <c r="AB174" s="22" t="n"/>
      <c r="AC174" s="19" t="n"/>
      <c r="AD174" s="21">
        <f>IF(AE174="",0,1)</f>
        <v/>
      </c>
      <c r="AE174" s="21">
        <f>IFERROR(TRIM(INDEX($A174:$X174,MATCH(Lists!$F$2,$A$1:$X$1,0))&amp;""),"")</f>
        <v/>
      </c>
      <c r="AF174" s="21">
        <f>IF(AE174="","",IFERROR(TRIM(INDEX($A174:$X174,MATCH(Lists!$F$3,$A$1:$X$1,0))&amp;""),""))</f>
        <v/>
      </c>
      <c r="AG174" s="21">
        <f>IF(AE174="","",IFERROR(TRIM(INDEX($A174:$X174,MATCH(Lists!$F$4,$A$1:$X$1,0))&amp;""),""))</f>
        <v/>
      </c>
      <c r="AH174" s="21">
        <f>IF(AE174="","",LOWER(IFERROR(TRIM(INDEX($A174:$X174,MATCH(Lists!$F$5,$A$1:$X$1,0))&amp;""),"")))</f>
        <v/>
      </c>
      <c r="AI174" s="21">
        <f>IF(AE174="","",IFERROR(TRIM(INDEX($A174:$X174,MATCH(Lists!$F$6,$A$1:$X$1,0))&amp;""),""))</f>
        <v/>
      </c>
      <c r="AJ174" s="21">
        <f>IF(AE174="","",IF(LEFT(IFERROR(TRIM(INDEX($A174:$X174,MATCH(Lists!$F$7,$A$1:$X$1,0))&amp;""),""),3)="Yes","Yes","No"))</f>
        <v/>
      </c>
      <c r="AK174" s="21">
        <f>IF(AE174="","",IFERROR(TRIM(INDEX($A174:$X174,MATCH(Lists!$F$8,$A$1:$X$1,0))&amp;""),""))</f>
        <v/>
      </c>
      <c r="AL174" s="21">
        <f>IF(AE174="","",IFERROR(IF(TRIM(INDEX($A174:$X174,MATCH(Lists!$F$9,$A$1:$X$1,0))&amp;"")="","",VALUE(TRIM(INDEX($A174:$X174,MATCH(Lists!$F$9,$A$1:$X$1,0))&amp;""))),""))</f>
        <v/>
      </c>
      <c r="AM174" s="21">
        <f>IF(AE174="","",IFERROR(TRIM(INDEX($A174:$X174,MATCH(Lists!$F$10,$A$1:$X$1,0))&amp;""),""))</f>
        <v/>
      </c>
      <c r="AN174" s="21">
        <f>IF(AE174="","",IF(OR(AM174="Paid",AM174="Partially refunded"),"Paid",IF(Z174="Yes","Paid (by hand)",IF(AM174&lt;&gt;"",AM174,"Unpaid"))))</f>
        <v/>
      </c>
      <c r="AO174" s="21">
        <f>IF(AD174=1,COUNTIFS($AE$2:$AE$301,"&lt;"&amp;AE174,$AD$2:$AD$301,1)+COUNTIF($AE$2:AE174,AE174),"")</f>
        <v/>
      </c>
    </row>
    <row r="175">
      <c r="Y175" s="19" t="n"/>
      <c r="Z175" s="22" t="n"/>
      <c r="AA175" s="22" t="n"/>
      <c r="AB175" s="22" t="n"/>
      <c r="AC175" s="19" t="n"/>
      <c r="AD175" s="21">
        <f>IF(AE175="",0,1)</f>
        <v/>
      </c>
      <c r="AE175" s="21">
        <f>IFERROR(TRIM(INDEX($A175:$X175,MATCH(Lists!$F$2,$A$1:$X$1,0))&amp;""),"")</f>
        <v/>
      </c>
      <c r="AF175" s="21">
        <f>IF(AE175="","",IFERROR(TRIM(INDEX($A175:$X175,MATCH(Lists!$F$3,$A$1:$X$1,0))&amp;""),""))</f>
        <v/>
      </c>
      <c r="AG175" s="21">
        <f>IF(AE175="","",IFERROR(TRIM(INDEX($A175:$X175,MATCH(Lists!$F$4,$A$1:$X$1,0))&amp;""),""))</f>
        <v/>
      </c>
      <c r="AH175" s="21">
        <f>IF(AE175="","",LOWER(IFERROR(TRIM(INDEX($A175:$X175,MATCH(Lists!$F$5,$A$1:$X$1,0))&amp;""),"")))</f>
        <v/>
      </c>
      <c r="AI175" s="21">
        <f>IF(AE175="","",IFERROR(TRIM(INDEX($A175:$X175,MATCH(Lists!$F$6,$A$1:$X$1,0))&amp;""),""))</f>
        <v/>
      </c>
      <c r="AJ175" s="21">
        <f>IF(AE175="","",IF(LEFT(IFERROR(TRIM(INDEX($A175:$X175,MATCH(Lists!$F$7,$A$1:$X$1,0))&amp;""),""),3)="Yes","Yes","No"))</f>
        <v/>
      </c>
      <c r="AK175" s="21">
        <f>IF(AE175="","",IFERROR(TRIM(INDEX($A175:$X175,MATCH(Lists!$F$8,$A$1:$X$1,0))&amp;""),""))</f>
        <v/>
      </c>
      <c r="AL175" s="21">
        <f>IF(AE175="","",IFERROR(IF(TRIM(INDEX($A175:$X175,MATCH(Lists!$F$9,$A$1:$X$1,0))&amp;"")="","",VALUE(TRIM(INDEX($A175:$X175,MATCH(Lists!$F$9,$A$1:$X$1,0))&amp;""))),""))</f>
        <v/>
      </c>
      <c r="AM175" s="21">
        <f>IF(AE175="","",IFERROR(TRIM(INDEX($A175:$X175,MATCH(Lists!$F$10,$A$1:$X$1,0))&amp;""),""))</f>
        <v/>
      </c>
      <c r="AN175" s="21">
        <f>IF(AE175="","",IF(OR(AM175="Paid",AM175="Partially refunded"),"Paid",IF(Z175="Yes","Paid (by hand)",IF(AM175&lt;&gt;"",AM175,"Unpaid"))))</f>
        <v/>
      </c>
      <c r="AO175" s="21">
        <f>IF(AD175=1,COUNTIFS($AE$2:$AE$301,"&lt;"&amp;AE175,$AD$2:$AD$301,1)+COUNTIF($AE$2:AE175,AE175),"")</f>
        <v/>
      </c>
    </row>
    <row r="176">
      <c r="Y176" s="19" t="n"/>
      <c r="Z176" s="22" t="n"/>
      <c r="AA176" s="22" t="n"/>
      <c r="AB176" s="22" t="n"/>
      <c r="AC176" s="19" t="n"/>
      <c r="AD176" s="21">
        <f>IF(AE176="",0,1)</f>
        <v/>
      </c>
      <c r="AE176" s="21">
        <f>IFERROR(TRIM(INDEX($A176:$X176,MATCH(Lists!$F$2,$A$1:$X$1,0))&amp;""),"")</f>
        <v/>
      </c>
      <c r="AF176" s="21">
        <f>IF(AE176="","",IFERROR(TRIM(INDEX($A176:$X176,MATCH(Lists!$F$3,$A$1:$X$1,0))&amp;""),""))</f>
        <v/>
      </c>
      <c r="AG176" s="21">
        <f>IF(AE176="","",IFERROR(TRIM(INDEX($A176:$X176,MATCH(Lists!$F$4,$A$1:$X$1,0))&amp;""),""))</f>
        <v/>
      </c>
      <c r="AH176" s="21">
        <f>IF(AE176="","",LOWER(IFERROR(TRIM(INDEX($A176:$X176,MATCH(Lists!$F$5,$A$1:$X$1,0))&amp;""),"")))</f>
        <v/>
      </c>
      <c r="AI176" s="21">
        <f>IF(AE176="","",IFERROR(TRIM(INDEX($A176:$X176,MATCH(Lists!$F$6,$A$1:$X$1,0))&amp;""),""))</f>
        <v/>
      </c>
      <c r="AJ176" s="21">
        <f>IF(AE176="","",IF(LEFT(IFERROR(TRIM(INDEX($A176:$X176,MATCH(Lists!$F$7,$A$1:$X$1,0))&amp;""),""),3)="Yes","Yes","No"))</f>
        <v/>
      </c>
      <c r="AK176" s="21">
        <f>IF(AE176="","",IFERROR(TRIM(INDEX($A176:$X176,MATCH(Lists!$F$8,$A$1:$X$1,0))&amp;""),""))</f>
        <v/>
      </c>
      <c r="AL176" s="21">
        <f>IF(AE176="","",IFERROR(IF(TRIM(INDEX($A176:$X176,MATCH(Lists!$F$9,$A$1:$X$1,0))&amp;"")="","",VALUE(TRIM(INDEX($A176:$X176,MATCH(Lists!$F$9,$A$1:$X$1,0))&amp;""))),""))</f>
        <v/>
      </c>
      <c r="AM176" s="21">
        <f>IF(AE176="","",IFERROR(TRIM(INDEX($A176:$X176,MATCH(Lists!$F$10,$A$1:$X$1,0))&amp;""),""))</f>
        <v/>
      </c>
      <c r="AN176" s="21">
        <f>IF(AE176="","",IF(OR(AM176="Paid",AM176="Partially refunded"),"Paid",IF(Z176="Yes","Paid (by hand)",IF(AM176&lt;&gt;"",AM176,"Unpaid"))))</f>
        <v/>
      </c>
      <c r="AO176" s="21">
        <f>IF(AD176=1,COUNTIFS($AE$2:$AE$301,"&lt;"&amp;AE176,$AD$2:$AD$301,1)+COUNTIF($AE$2:AE176,AE176),"")</f>
        <v/>
      </c>
    </row>
    <row r="177">
      <c r="Y177" s="19" t="n"/>
      <c r="Z177" s="22" t="n"/>
      <c r="AA177" s="22" t="n"/>
      <c r="AB177" s="22" t="n"/>
      <c r="AC177" s="19" t="n"/>
      <c r="AD177" s="21">
        <f>IF(AE177="",0,1)</f>
        <v/>
      </c>
      <c r="AE177" s="21">
        <f>IFERROR(TRIM(INDEX($A177:$X177,MATCH(Lists!$F$2,$A$1:$X$1,0))&amp;""),"")</f>
        <v/>
      </c>
      <c r="AF177" s="21">
        <f>IF(AE177="","",IFERROR(TRIM(INDEX($A177:$X177,MATCH(Lists!$F$3,$A$1:$X$1,0))&amp;""),""))</f>
        <v/>
      </c>
      <c r="AG177" s="21">
        <f>IF(AE177="","",IFERROR(TRIM(INDEX($A177:$X177,MATCH(Lists!$F$4,$A$1:$X$1,0))&amp;""),""))</f>
        <v/>
      </c>
      <c r="AH177" s="21">
        <f>IF(AE177="","",LOWER(IFERROR(TRIM(INDEX($A177:$X177,MATCH(Lists!$F$5,$A$1:$X$1,0))&amp;""),"")))</f>
        <v/>
      </c>
      <c r="AI177" s="21">
        <f>IF(AE177="","",IFERROR(TRIM(INDEX($A177:$X177,MATCH(Lists!$F$6,$A$1:$X$1,0))&amp;""),""))</f>
        <v/>
      </c>
      <c r="AJ177" s="21">
        <f>IF(AE177="","",IF(LEFT(IFERROR(TRIM(INDEX($A177:$X177,MATCH(Lists!$F$7,$A$1:$X$1,0))&amp;""),""),3)="Yes","Yes","No"))</f>
        <v/>
      </c>
      <c r="AK177" s="21">
        <f>IF(AE177="","",IFERROR(TRIM(INDEX($A177:$X177,MATCH(Lists!$F$8,$A$1:$X$1,0))&amp;""),""))</f>
        <v/>
      </c>
      <c r="AL177" s="21">
        <f>IF(AE177="","",IFERROR(IF(TRIM(INDEX($A177:$X177,MATCH(Lists!$F$9,$A$1:$X$1,0))&amp;"")="","",VALUE(TRIM(INDEX($A177:$X177,MATCH(Lists!$F$9,$A$1:$X$1,0))&amp;""))),""))</f>
        <v/>
      </c>
      <c r="AM177" s="21">
        <f>IF(AE177="","",IFERROR(TRIM(INDEX($A177:$X177,MATCH(Lists!$F$10,$A$1:$X$1,0))&amp;""),""))</f>
        <v/>
      </c>
      <c r="AN177" s="21">
        <f>IF(AE177="","",IF(OR(AM177="Paid",AM177="Partially refunded"),"Paid",IF(Z177="Yes","Paid (by hand)",IF(AM177&lt;&gt;"",AM177,"Unpaid"))))</f>
        <v/>
      </c>
      <c r="AO177" s="21">
        <f>IF(AD177=1,COUNTIFS($AE$2:$AE$301,"&lt;"&amp;AE177,$AD$2:$AD$301,1)+COUNTIF($AE$2:AE177,AE177),"")</f>
        <v/>
      </c>
    </row>
    <row r="178">
      <c r="Y178" s="19" t="n"/>
      <c r="Z178" s="22" t="n"/>
      <c r="AA178" s="22" t="n"/>
      <c r="AB178" s="22" t="n"/>
      <c r="AC178" s="19" t="n"/>
      <c r="AD178" s="21">
        <f>IF(AE178="",0,1)</f>
        <v/>
      </c>
      <c r="AE178" s="21">
        <f>IFERROR(TRIM(INDEX($A178:$X178,MATCH(Lists!$F$2,$A$1:$X$1,0))&amp;""),"")</f>
        <v/>
      </c>
      <c r="AF178" s="21">
        <f>IF(AE178="","",IFERROR(TRIM(INDEX($A178:$X178,MATCH(Lists!$F$3,$A$1:$X$1,0))&amp;""),""))</f>
        <v/>
      </c>
      <c r="AG178" s="21">
        <f>IF(AE178="","",IFERROR(TRIM(INDEX($A178:$X178,MATCH(Lists!$F$4,$A$1:$X$1,0))&amp;""),""))</f>
        <v/>
      </c>
      <c r="AH178" s="21">
        <f>IF(AE178="","",LOWER(IFERROR(TRIM(INDEX($A178:$X178,MATCH(Lists!$F$5,$A$1:$X$1,0))&amp;""),"")))</f>
        <v/>
      </c>
      <c r="AI178" s="21">
        <f>IF(AE178="","",IFERROR(TRIM(INDEX($A178:$X178,MATCH(Lists!$F$6,$A$1:$X$1,0))&amp;""),""))</f>
        <v/>
      </c>
      <c r="AJ178" s="21">
        <f>IF(AE178="","",IF(LEFT(IFERROR(TRIM(INDEX($A178:$X178,MATCH(Lists!$F$7,$A$1:$X$1,0))&amp;""),""),3)="Yes","Yes","No"))</f>
        <v/>
      </c>
      <c r="AK178" s="21">
        <f>IF(AE178="","",IFERROR(TRIM(INDEX($A178:$X178,MATCH(Lists!$F$8,$A$1:$X$1,0))&amp;""),""))</f>
        <v/>
      </c>
      <c r="AL178" s="21">
        <f>IF(AE178="","",IFERROR(IF(TRIM(INDEX($A178:$X178,MATCH(Lists!$F$9,$A$1:$X$1,0))&amp;"")="","",VALUE(TRIM(INDEX($A178:$X178,MATCH(Lists!$F$9,$A$1:$X$1,0))&amp;""))),""))</f>
        <v/>
      </c>
      <c r="AM178" s="21">
        <f>IF(AE178="","",IFERROR(TRIM(INDEX($A178:$X178,MATCH(Lists!$F$10,$A$1:$X$1,0))&amp;""),""))</f>
        <v/>
      </c>
      <c r="AN178" s="21">
        <f>IF(AE178="","",IF(OR(AM178="Paid",AM178="Partially refunded"),"Paid",IF(Z178="Yes","Paid (by hand)",IF(AM178&lt;&gt;"",AM178,"Unpaid"))))</f>
        <v/>
      </c>
      <c r="AO178" s="21">
        <f>IF(AD178=1,COUNTIFS($AE$2:$AE$301,"&lt;"&amp;AE178,$AD$2:$AD$301,1)+COUNTIF($AE$2:AE178,AE178),"")</f>
        <v/>
      </c>
    </row>
    <row r="179">
      <c r="Y179" s="19" t="n"/>
      <c r="Z179" s="22" t="n"/>
      <c r="AA179" s="22" t="n"/>
      <c r="AB179" s="22" t="n"/>
      <c r="AC179" s="19" t="n"/>
      <c r="AD179" s="21">
        <f>IF(AE179="",0,1)</f>
        <v/>
      </c>
      <c r="AE179" s="21">
        <f>IFERROR(TRIM(INDEX($A179:$X179,MATCH(Lists!$F$2,$A$1:$X$1,0))&amp;""),"")</f>
        <v/>
      </c>
      <c r="AF179" s="21">
        <f>IF(AE179="","",IFERROR(TRIM(INDEX($A179:$X179,MATCH(Lists!$F$3,$A$1:$X$1,0))&amp;""),""))</f>
        <v/>
      </c>
      <c r="AG179" s="21">
        <f>IF(AE179="","",IFERROR(TRIM(INDEX($A179:$X179,MATCH(Lists!$F$4,$A$1:$X$1,0))&amp;""),""))</f>
        <v/>
      </c>
      <c r="AH179" s="21">
        <f>IF(AE179="","",LOWER(IFERROR(TRIM(INDEX($A179:$X179,MATCH(Lists!$F$5,$A$1:$X$1,0))&amp;""),"")))</f>
        <v/>
      </c>
      <c r="AI179" s="21">
        <f>IF(AE179="","",IFERROR(TRIM(INDEX($A179:$X179,MATCH(Lists!$F$6,$A$1:$X$1,0))&amp;""),""))</f>
        <v/>
      </c>
      <c r="AJ179" s="21">
        <f>IF(AE179="","",IF(LEFT(IFERROR(TRIM(INDEX($A179:$X179,MATCH(Lists!$F$7,$A$1:$X$1,0))&amp;""),""),3)="Yes","Yes","No"))</f>
        <v/>
      </c>
      <c r="AK179" s="21">
        <f>IF(AE179="","",IFERROR(TRIM(INDEX($A179:$X179,MATCH(Lists!$F$8,$A$1:$X$1,0))&amp;""),""))</f>
        <v/>
      </c>
      <c r="AL179" s="21">
        <f>IF(AE179="","",IFERROR(IF(TRIM(INDEX($A179:$X179,MATCH(Lists!$F$9,$A$1:$X$1,0))&amp;"")="","",VALUE(TRIM(INDEX($A179:$X179,MATCH(Lists!$F$9,$A$1:$X$1,0))&amp;""))),""))</f>
        <v/>
      </c>
      <c r="AM179" s="21">
        <f>IF(AE179="","",IFERROR(TRIM(INDEX($A179:$X179,MATCH(Lists!$F$10,$A$1:$X$1,0))&amp;""),""))</f>
        <v/>
      </c>
      <c r="AN179" s="21">
        <f>IF(AE179="","",IF(OR(AM179="Paid",AM179="Partially refunded"),"Paid",IF(Z179="Yes","Paid (by hand)",IF(AM179&lt;&gt;"",AM179,"Unpaid"))))</f>
        <v/>
      </c>
      <c r="AO179" s="21">
        <f>IF(AD179=1,COUNTIFS($AE$2:$AE$301,"&lt;"&amp;AE179,$AD$2:$AD$301,1)+COUNTIF($AE$2:AE179,AE179),"")</f>
        <v/>
      </c>
    </row>
    <row r="180">
      <c r="Y180" s="19" t="n"/>
      <c r="Z180" s="22" t="n"/>
      <c r="AA180" s="22" t="n"/>
      <c r="AB180" s="22" t="n"/>
      <c r="AC180" s="19" t="n"/>
      <c r="AD180" s="21">
        <f>IF(AE180="",0,1)</f>
        <v/>
      </c>
      <c r="AE180" s="21">
        <f>IFERROR(TRIM(INDEX($A180:$X180,MATCH(Lists!$F$2,$A$1:$X$1,0))&amp;""),"")</f>
        <v/>
      </c>
      <c r="AF180" s="21">
        <f>IF(AE180="","",IFERROR(TRIM(INDEX($A180:$X180,MATCH(Lists!$F$3,$A$1:$X$1,0))&amp;""),""))</f>
        <v/>
      </c>
      <c r="AG180" s="21">
        <f>IF(AE180="","",IFERROR(TRIM(INDEX($A180:$X180,MATCH(Lists!$F$4,$A$1:$X$1,0))&amp;""),""))</f>
        <v/>
      </c>
      <c r="AH180" s="21">
        <f>IF(AE180="","",LOWER(IFERROR(TRIM(INDEX($A180:$X180,MATCH(Lists!$F$5,$A$1:$X$1,0))&amp;""),"")))</f>
        <v/>
      </c>
      <c r="AI180" s="21">
        <f>IF(AE180="","",IFERROR(TRIM(INDEX($A180:$X180,MATCH(Lists!$F$6,$A$1:$X$1,0))&amp;""),""))</f>
        <v/>
      </c>
      <c r="AJ180" s="21">
        <f>IF(AE180="","",IF(LEFT(IFERROR(TRIM(INDEX($A180:$X180,MATCH(Lists!$F$7,$A$1:$X$1,0))&amp;""),""),3)="Yes","Yes","No"))</f>
        <v/>
      </c>
      <c r="AK180" s="21">
        <f>IF(AE180="","",IFERROR(TRIM(INDEX($A180:$X180,MATCH(Lists!$F$8,$A$1:$X$1,0))&amp;""),""))</f>
        <v/>
      </c>
      <c r="AL180" s="21">
        <f>IF(AE180="","",IFERROR(IF(TRIM(INDEX($A180:$X180,MATCH(Lists!$F$9,$A$1:$X$1,0))&amp;"")="","",VALUE(TRIM(INDEX($A180:$X180,MATCH(Lists!$F$9,$A$1:$X$1,0))&amp;""))),""))</f>
        <v/>
      </c>
      <c r="AM180" s="21">
        <f>IF(AE180="","",IFERROR(TRIM(INDEX($A180:$X180,MATCH(Lists!$F$10,$A$1:$X$1,0))&amp;""),""))</f>
        <v/>
      </c>
      <c r="AN180" s="21">
        <f>IF(AE180="","",IF(OR(AM180="Paid",AM180="Partially refunded"),"Paid",IF(Z180="Yes","Paid (by hand)",IF(AM180&lt;&gt;"",AM180,"Unpaid"))))</f>
        <v/>
      </c>
      <c r="AO180" s="21">
        <f>IF(AD180=1,COUNTIFS($AE$2:$AE$301,"&lt;"&amp;AE180,$AD$2:$AD$301,1)+COUNTIF($AE$2:AE180,AE180),"")</f>
        <v/>
      </c>
    </row>
    <row r="181">
      <c r="Y181" s="19" t="n"/>
      <c r="Z181" s="22" t="n"/>
      <c r="AA181" s="22" t="n"/>
      <c r="AB181" s="22" t="n"/>
      <c r="AC181" s="19" t="n"/>
      <c r="AD181" s="21">
        <f>IF(AE181="",0,1)</f>
        <v/>
      </c>
      <c r="AE181" s="21">
        <f>IFERROR(TRIM(INDEX($A181:$X181,MATCH(Lists!$F$2,$A$1:$X$1,0))&amp;""),"")</f>
        <v/>
      </c>
      <c r="AF181" s="21">
        <f>IF(AE181="","",IFERROR(TRIM(INDEX($A181:$X181,MATCH(Lists!$F$3,$A$1:$X$1,0))&amp;""),""))</f>
        <v/>
      </c>
      <c r="AG181" s="21">
        <f>IF(AE181="","",IFERROR(TRIM(INDEX($A181:$X181,MATCH(Lists!$F$4,$A$1:$X$1,0))&amp;""),""))</f>
        <v/>
      </c>
      <c r="AH181" s="21">
        <f>IF(AE181="","",LOWER(IFERROR(TRIM(INDEX($A181:$X181,MATCH(Lists!$F$5,$A$1:$X$1,0))&amp;""),"")))</f>
        <v/>
      </c>
      <c r="AI181" s="21">
        <f>IF(AE181="","",IFERROR(TRIM(INDEX($A181:$X181,MATCH(Lists!$F$6,$A$1:$X$1,0))&amp;""),""))</f>
        <v/>
      </c>
      <c r="AJ181" s="21">
        <f>IF(AE181="","",IF(LEFT(IFERROR(TRIM(INDEX($A181:$X181,MATCH(Lists!$F$7,$A$1:$X$1,0))&amp;""),""),3)="Yes","Yes","No"))</f>
        <v/>
      </c>
      <c r="AK181" s="21">
        <f>IF(AE181="","",IFERROR(TRIM(INDEX($A181:$X181,MATCH(Lists!$F$8,$A$1:$X$1,0))&amp;""),""))</f>
        <v/>
      </c>
      <c r="AL181" s="21">
        <f>IF(AE181="","",IFERROR(IF(TRIM(INDEX($A181:$X181,MATCH(Lists!$F$9,$A$1:$X$1,0))&amp;"")="","",VALUE(TRIM(INDEX($A181:$X181,MATCH(Lists!$F$9,$A$1:$X$1,0))&amp;""))),""))</f>
        <v/>
      </c>
      <c r="AM181" s="21">
        <f>IF(AE181="","",IFERROR(TRIM(INDEX($A181:$X181,MATCH(Lists!$F$10,$A$1:$X$1,0))&amp;""),""))</f>
        <v/>
      </c>
      <c r="AN181" s="21">
        <f>IF(AE181="","",IF(OR(AM181="Paid",AM181="Partially refunded"),"Paid",IF(Z181="Yes","Paid (by hand)",IF(AM181&lt;&gt;"",AM181,"Unpaid"))))</f>
        <v/>
      </c>
      <c r="AO181" s="21">
        <f>IF(AD181=1,COUNTIFS($AE$2:$AE$301,"&lt;"&amp;AE181,$AD$2:$AD$301,1)+COUNTIF($AE$2:AE181,AE181),"")</f>
        <v/>
      </c>
    </row>
    <row r="182">
      <c r="Y182" s="19" t="n"/>
      <c r="Z182" s="22" t="n"/>
      <c r="AA182" s="22" t="n"/>
      <c r="AB182" s="22" t="n"/>
      <c r="AC182" s="19" t="n"/>
      <c r="AD182" s="21">
        <f>IF(AE182="",0,1)</f>
        <v/>
      </c>
      <c r="AE182" s="21">
        <f>IFERROR(TRIM(INDEX($A182:$X182,MATCH(Lists!$F$2,$A$1:$X$1,0))&amp;""),"")</f>
        <v/>
      </c>
      <c r="AF182" s="21">
        <f>IF(AE182="","",IFERROR(TRIM(INDEX($A182:$X182,MATCH(Lists!$F$3,$A$1:$X$1,0))&amp;""),""))</f>
        <v/>
      </c>
      <c r="AG182" s="21">
        <f>IF(AE182="","",IFERROR(TRIM(INDEX($A182:$X182,MATCH(Lists!$F$4,$A$1:$X$1,0))&amp;""),""))</f>
        <v/>
      </c>
      <c r="AH182" s="21">
        <f>IF(AE182="","",LOWER(IFERROR(TRIM(INDEX($A182:$X182,MATCH(Lists!$F$5,$A$1:$X$1,0))&amp;""),"")))</f>
        <v/>
      </c>
      <c r="AI182" s="21">
        <f>IF(AE182="","",IFERROR(TRIM(INDEX($A182:$X182,MATCH(Lists!$F$6,$A$1:$X$1,0))&amp;""),""))</f>
        <v/>
      </c>
      <c r="AJ182" s="21">
        <f>IF(AE182="","",IF(LEFT(IFERROR(TRIM(INDEX($A182:$X182,MATCH(Lists!$F$7,$A$1:$X$1,0))&amp;""),""),3)="Yes","Yes","No"))</f>
        <v/>
      </c>
      <c r="AK182" s="21">
        <f>IF(AE182="","",IFERROR(TRIM(INDEX($A182:$X182,MATCH(Lists!$F$8,$A$1:$X$1,0))&amp;""),""))</f>
        <v/>
      </c>
      <c r="AL182" s="21">
        <f>IF(AE182="","",IFERROR(IF(TRIM(INDEX($A182:$X182,MATCH(Lists!$F$9,$A$1:$X$1,0))&amp;"")="","",VALUE(TRIM(INDEX($A182:$X182,MATCH(Lists!$F$9,$A$1:$X$1,0))&amp;""))),""))</f>
        <v/>
      </c>
      <c r="AM182" s="21">
        <f>IF(AE182="","",IFERROR(TRIM(INDEX($A182:$X182,MATCH(Lists!$F$10,$A$1:$X$1,0))&amp;""),""))</f>
        <v/>
      </c>
      <c r="AN182" s="21">
        <f>IF(AE182="","",IF(OR(AM182="Paid",AM182="Partially refunded"),"Paid",IF(Z182="Yes","Paid (by hand)",IF(AM182&lt;&gt;"",AM182,"Unpaid"))))</f>
        <v/>
      </c>
      <c r="AO182" s="21">
        <f>IF(AD182=1,COUNTIFS($AE$2:$AE$301,"&lt;"&amp;AE182,$AD$2:$AD$301,1)+COUNTIF($AE$2:AE182,AE182),"")</f>
        <v/>
      </c>
    </row>
    <row r="183">
      <c r="Y183" s="19" t="n"/>
      <c r="Z183" s="22" t="n"/>
      <c r="AA183" s="22" t="n"/>
      <c r="AB183" s="22" t="n"/>
      <c r="AC183" s="19" t="n"/>
      <c r="AD183" s="21">
        <f>IF(AE183="",0,1)</f>
        <v/>
      </c>
      <c r="AE183" s="21">
        <f>IFERROR(TRIM(INDEX($A183:$X183,MATCH(Lists!$F$2,$A$1:$X$1,0))&amp;""),"")</f>
        <v/>
      </c>
      <c r="AF183" s="21">
        <f>IF(AE183="","",IFERROR(TRIM(INDEX($A183:$X183,MATCH(Lists!$F$3,$A$1:$X$1,0))&amp;""),""))</f>
        <v/>
      </c>
      <c r="AG183" s="21">
        <f>IF(AE183="","",IFERROR(TRIM(INDEX($A183:$X183,MATCH(Lists!$F$4,$A$1:$X$1,0))&amp;""),""))</f>
        <v/>
      </c>
      <c r="AH183" s="21">
        <f>IF(AE183="","",LOWER(IFERROR(TRIM(INDEX($A183:$X183,MATCH(Lists!$F$5,$A$1:$X$1,0))&amp;""),"")))</f>
        <v/>
      </c>
      <c r="AI183" s="21">
        <f>IF(AE183="","",IFERROR(TRIM(INDEX($A183:$X183,MATCH(Lists!$F$6,$A$1:$X$1,0))&amp;""),""))</f>
        <v/>
      </c>
      <c r="AJ183" s="21">
        <f>IF(AE183="","",IF(LEFT(IFERROR(TRIM(INDEX($A183:$X183,MATCH(Lists!$F$7,$A$1:$X$1,0))&amp;""),""),3)="Yes","Yes","No"))</f>
        <v/>
      </c>
      <c r="AK183" s="21">
        <f>IF(AE183="","",IFERROR(TRIM(INDEX($A183:$X183,MATCH(Lists!$F$8,$A$1:$X$1,0))&amp;""),""))</f>
        <v/>
      </c>
      <c r="AL183" s="21">
        <f>IF(AE183="","",IFERROR(IF(TRIM(INDEX($A183:$X183,MATCH(Lists!$F$9,$A$1:$X$1,0))&amp;"")="","",VALUE(TRIM(INDEX($A183:$X183,MATCH(Lists!$F$9,$A$1:$X$1,0))&amp;""))),""))</f>
        <v/>
      </c>
      <c r="AM183" s="21">
        <f>IF(AE183="","",IFERROR(TRIM(INDEX($A183:$X183,MATCH(Lists!$F$10,$A$1:$X$1,0))&amp;""),""))</f>
        <v/>
      </c>
      <c r="AN183" s="21">
        <f>IF(AE183="","",IF(OR(AM183="Paid",AM183="Partially refunded"),"Paid",IF(Z183="Yes","Paid (by hand)",IF(AM183&lt;&gt;"",AM183,"Unpaid"))))</f>
        <v/>
      </c>
      <c r="AO183" s="21">
        <f>IF(AD183=1,COUNTIFS($AE$2:$AE$301,"&lt;"&amp;AE183,$AD$2:$AD$301,1)+COUNTIF($AE$2:AE183,AE183),"")</f>
        <v/>
      </c>
    </row>
    <row r="184">
      <c r="Y184" s="19" t="n"/>
      <c r="Z184" s="22" t="n"/>
      <c r="AA184" s="22" t="n"/>
      <c r="AB184" s="22" t="n"/>
      <c r="AC184" s="19" t="n"/>
      <c r="AD184" s="21">
        <f>IF(AE184="",0,1)</f>
        <v/>
      </c>
      <c r="AE184" s="21">
        <f>IFERROR(TRIM(INDEX($A184:$X184,MATCH(Lists!$F$2,$A$1:$X$1,0))&amp;""),"")</f>
        <v/>
      </c>
      <c r="AF184" s="21">
        <f>IF(AE184="","",IFERROR(TRIM(INDEX($A184:$X184,MATCH(Lists!$F$3,$A$1:$X$1,0))&amp;""),""))</f>
        <v/>
      </c>
      <c r="AG184" s="21">
        <f>IF(AE184="","",IFERROR(TRIM(INDEX($A184:$X184,MATCH(Lists!$F$4,$A$1:$X$1,0))&amp;""),""))</f>
        <v/>
      </c>
      <c r="AH184" s="21">
        <f>IF(AE184="","",LOWER(IFERROR(TRIM(INDEX($A184:$X184,MATCH(Lists!$F$5,$A$1:$X$1,0))&amp;""),"")))</f>
        <v/>
      </c>
      <c r="AI184" s="21">
        <f>IF(AE184="","",IFERROR(TRIM(INDEX($A184:$X184,MATCH(Lists!$F$6,$A$1:$X$1,0))&amp;""),""))</f>
        <v/>
      </c>
      <c r="AJ184" s="21">
        <f>IF(AE184="","",IF(LEFT(IFERROR(TRIM(INDEX($A184:$X184,MATCH(Lists!$F$7,$A$1:$X$1,0))&amp;""),""),3)="Yes","Yes","No"))</f>
        <v/>
      </c>
      <c r="AK184" s="21">
        <f>IF(AE184="","",IFERROR(TRIM(INDEX($A184:$X184,MATCH(Lists!$F$8,$A$1:$X$1,0))&amp;""),""))</f>
        <v/>
      </c>
      <c r="AL184" s="21">
        <f>IF(AE184="","",IFERROR(IF(TRIM(INDEX($A184:$X184,MATCH(Lists!$F$9,$A$1:$X$1,0))&amp;"")="","",VALUE(TRIM(INDEX($A184:$X184,MATCH(Lists!$F$9,$A$1:$X$1,0))&amp;""))),""))</f>
        <v/>
      </c>
      <c r="AM184" s="21">
        <f>IF(AE184="","",IFERROR(TRIM(INDEX($A184:$X184,MATCH(Lists!$F$10,$A$1:$X$1,0))&amp;""),""))</f>
        <v/>
      </c>
      <c r="AN184" s="21">
        <f>IF(AE184="","",IF(OR(AM184="Paid",AM184="Partially refunded"),"Paid",IF(Z184="Yes","Paid (by hand)",IF(AM184&lt;&gt;"",AM184,"Unpaid"))))</f>
        <v/>
      </c>
      <c r="AO184" s="21">
        <f>IF(AD184=1,COUNTIFS($AE$2:$AE$301,"&lt;"&amp;AE184,$AD$2:$AD$301,1)+COUNTIF($AE$2:AE184,AE184),"")</f>
        <v/>
      </c>
    </row>
    <row r="185">
      <c r="Y185" s="19" t="n"/>
      <c r="Z185" s="22" t="n"/>
      <c r="AA185" s="22" t="n"/>
      <c r="AB185" s="22" t="n"/>
      <c r="AC185" s="19" t="n"/>
      <c r="AD185" s="21">
        <f>IF(AE185="",0,1)</f>
        <v/>
      </c>
      <c r="AE185" s="21">
        <f>IFERROR(TRIM(INDEX($A185:$X185,MATCH(Lists!$F$2,$A$1:$X$1,0))&amp;""),"")</f>
        <v/>
      </c>
      <c r="AF185" s="21">
        <f>IF(AE185="","",IFERROR(TRIM(INDEX($A185:$X185,MATCH(Lists!$F$3,$A$1:$X$1,0))&amp;""),""))</f>
        <v/>
      </c>
      <c r="AG185" s="21">
        <f>IF(AE185="","",IFERROR(TRIM(INDEX($A185:$X185,MATCH(Lists!$F$4,$A$1:$X$1,0))&amp;""),""))</f>
        <v/>
      </c>
      <c r="AH185" s="21">
        <f>IF(AE185="","",LOWER(IFERROR(TRIM(INDEX($A185:$X185,MATCH(Lists!$F$5,$A$1:$X$1,0))&amp;""),"")))</f>
        <v/>
      </c>
      <c r="AI185" s="21">
        <f>IF(AE185="","",IFERROR(TRIM(INDEX($A185:$X185,MATCH(Lists!$F$6,$A$1:$X$1,0))&amp;""),""))</f>
        <v/>
      </c>
      <c r="AJ185" s="21">
        <f>IF(AE185="","",IF(LEFT(IFERROR(TRIM(INDEX($A185:$X185,MATCH(Lists!$F$7,$A$1:$X$1,0))&amp;""),""),3)="Yes","Yes","No"))</f>
        <v/>
      </c>
      <c r="AK185" s="21">
        <f>IF(AE185="","",IFERROR(TRIM(INDEX($A185:$X185,MATCH(Lists!$F$8,$A$1:$X$1,0))&amp;""),""))</f>
        <v/>
      </c>
      <c r="AL185" s="21">
        <f>IF(AE185="","",IFERROR(IF(TRIM(INDEX($A185:$X185,MATCH(Lists!$F$9,$A$1:$X$1,0))&amp;"")="","",VALUE(TRIM(INDEX($A185:$X185,MATCH(Lists!$F$9,$A$1:$X$1,0))&amp;""))),""))</f>
        <v/>
      </c>
      <c r="AM185" s="21">
        <f>IF(AE185="","",IFERROR(TRIM(INDEX($A185:$X185,MATCH(Lists!$F$10,$A$1:$X$1,0))&amp;""),""))</f>
        <v/>
      </c>
      <c r="AN185" s="21">
        <f>IF(AE185="","",IF(OR(AM185="Paid",AM185="Partially refunded"),"Paid",IF(Z185="Yes","Paid (by hand)",IF(AM185&lt;&gt;"",AM185,"Unpaid"))))</f>
        <v/>
      </c>
      <c r="AO185" s="21">
        <f>IF(AD185=1,COUNTIFS($AE$2:$AE$301,"&lt;"&amp;AE185,$AD$2:$AD$301,1)+COUNTIF($AE$2:AE185,AE185),"")</f>
        <v/>
      </c>
    </row>
    <row r="186">
      <c r="Y186" s="19" t="n"/>
      <c r="Z186" s="22" t="n"/>
      <c r="AA186" s="22" t="n"/>
      <c r="AB186" s="22" t="n"/>
      <c r="AC186" s="19" t="n"/>
      <c r="AD186" s="21">
        <f>IF(AE186="",0,1)</f>
        <v/>
      </c>
      <c r="AE186" s="21">
        <f>IFERROR(TRIM(INDEX($A186:$X186,MATCH(Lists!$F$2,$A$1:$X$1,0))&amp;""),"")</f>
        <v/>
      </c>
      <c r="AF186" s="21">
        <f>IF(AE186="","",IFERROR(TRIM(INDEX($A186:$X186,MATCH(Lists!$F$3,$A$1:$X$1,0))&amp;""),""))</f>
        <v/>
      </c>
      <c r="AG186" s="21">
        <f>IF(AE186="","",IFERROR(TRIM(INDEX($A186:$X186,MATCH(Lists!$F$4,$A$1:$X$1,0))&amp;""),""))</f>
        <v/>
      </c>
      <c r="AH186" s="21">
        <f>IF(AE186="","",LOWER(IFERROR(TRIM(INDEX($A186:$X186,MATCH(Lists!$F$5,$A$1:$X$1,0))&amp;""),"")))</f>
        <v/>
      </c>
      <c r="AI186" s="21">
        <f>IF(AE186="","",IFERROR(TRIM(INDEX($A186:$X186,MATCH(Lists!$F$6,$A$1:$X$1,0))&amp;""),""))</f>
        <v/>
      </c>
      <c r="AJ186" s="21">
        <f>IF(AE186="","",IF(LEFT(IFERROR(TRIM(INDEX($A186:$X186,MATCH(Lists!$F$7,$A$1:$X$1,0))&amp;""),""),3)="Yes","Yes","No"))</f>
        <v/>
      </c>
      <c r="AK186" s="21">
        <f>IF(AE186="","",IFERROR(TRIM(INDEX($A186:$X186,MATCH(Lists!$F$8,$A$1:$X$1,0))&amp;""),""))</f>
        <v/>
      </c>
      <c r="AL186" s="21">
        <f>IF(AE186="","",IFERROR(IF(TRIM(INDEX($A186:$X186,MATCH(Lists!$F$9,$A$1:$X$1,0))&amp;"")="","",VALUE(TRIM(INDEX($A186:$X186,MATCH(Lists!$F$9,$A$1:$X$1,0))&amp;""))),""))</f>
        <v/>
      </c>
      <c r="AM186" s="21">
        <f>IF(AE186="","",IFERROR(TRIM(INDEX($A186:$X186,MATCH(Lists!$F$10,$A$1:$X$1,0))&amp;""),""))</f>
        <v/>
      </c>
      <c r="AN186" s="21">
        <f>IF(AE186="","",IF(OR(AM186="Paid",AM186="Partially refunded"),"Paid",IF(Z186="Yes","Paid (by hand)",IF(AM186&lt;&gt;"",AM186,"Unpaid"))))</f>
        <v/>
      </c>
      <c r="AO186" s="21">
        <f>IF(AD186=1,COUNTIFS($AE$2:$AE$301,"&lt;"&amp;AE186,$AD$2:$AD$301,1)+COUNTIF($AE$2:AE186,AE186),"")</f>
        <v/>
      </c>
    </row>
    <row r="187">
      <c r="Y187" s="19" t="n"/>
      <c r="Z187" s="22" t="n"/>
      <c r="AA187" s="22" t="n"/>
      <c r="AB187" s="22" t="n"/>
      <c r="AC187" s="19" t="n"/>
      <c r="AD187" s="21">
        <f>IF(AE187="",0,1)</f>
        <v/>
      </c>
      <c r="AE187" s="21">
        <f>IFERROR(TRIM(INDEX($A187:$X187,MATCH(Lists!$F$2,$A$1:$X$1,0))&amp;""),"")</f>
        <v/>
      </c>
      <c r="AF187" s="21">
        <f>IF(AE187="","",IFERROR(TRIM(INDEX($A187:$X187,MATCH(Lists!$F$3,$A$1:$X$1,0))&amp;""),""))</f>
        <v/>
      </c>
      <c r="AG187" s="21">
        <f>IF(AE187="","",IFERROR(TRIM(INDEX($A187:$X187,MATCH(Lists!$F$4,$A$1:$X$1,0))&amp;""),""))</f>
        <v/>
      </c>
      <c r="AH187" s="21">
        <f>IF(AE187="","",LOWER(IFERROR(TRIM(INDEX($A187:$X187,MATCH(Lists!$F$5,$A$1:$X$1,0))&amp;""),"")))</f>
        <v/>
      </c>
      <c r="AI187" s="21">
        <f>IF(AE187="","",IFERROR(TRIM(INDEX($A187:$X187,MATCH(Lists!$F$6,$A$1:$X$1,0))&amp;""),""))</f>
        <v/>
      </c>
      <c r="AJ187" s="21">
        <f>IF(AE187="","",IF(LEFT(IFERROR(TRIM(INDEX($A187:$X187,MATCH(Lists!$F$7,$A$1:$X$1,0))&amp;""),""),3)="Yes","Yes","No"))</f>
        <v/>
      </c>
      <c r="AK187" s="21">
        <f>IF(AE187="","",IFERROR(TRIM(INDEX($A187:$X187,MATCH(Lists!$F$8,$A$1:$X$1,0))&amp;""),""))</f>
        <v/>
      </c>
      <c r="AL187" s="21">
        <f>IF(AE187="","",IFERROR(IF(TRIM(INDEX($A187:$X187,MATCH(Lists!$F$9,$A$1:$X$1,0))&amp;"")="","",VALUE(TRIM(INDEX($A187:$X187,MATCH(Lists!$F$9,$A$1:$X$1,0))&amp;""))),""))</f>
        <v/>
      </c>
      <c r="AM187" s="21">
        <f>IF(AE187="","",IFERROR(TRIM(INDEX($A187:$X187,MATCH(Lists!$F$10,$A$1:$X$1,0))&amp;""),""))</f>
        <v/>
      </c>
      <c r="AN187" s="21">
        <f>IF(AE187="","",IF(OR(AM187="Paid",AM187="Partially refunded"),"Paid",IF(Z187="Yes","Paid (by hand)",IF(AM187&lt;&gt;"",AM187,"Unpaid"))))</f>
        <v/>
      </c>
      <c r="AO187" s="21">
        <f>IF(AD187=1,COUNTIFS($AE$2:$AE$301,"&lt;"&amp;AE187,$AD$2:$AD$301,1)+COUNTIF($AE$2:AE187,AE187),"")</f>
        <v/>
      </c>
    </row>
    <row r="188">
      <c r="Y188" s="19" t="n"/>
      <c r="Z188" s="22" t="n"/>
      <c r="AA188" s="22" t="n"/>
      <c r="AB188" s="22" t="n"/>
      <c r="AC188" s="19" t="n"/>
      <c r="AD188" s="21">
        <f>IF(AE188="",0,1)</f>
        <v/>
      </c>
      <c r="AE188" s="21">
        <f>IFERROR(TRIM(INDEX($A188:$X188,MATCH(Lists!$F$2,$A$1:$X$1,0))&amp;""),"")</f>
        <v/>
      </c>
      <c r="AF188" s="21">
        <f>IF(AE188="","",IFERROR(TRIM(INDEX($A188:$X188,MATCH(Lists!$F$3,$A$1:$X$1,0))&amp;""),""))</f>
        <v/>
      </c>
      <c r="AG188" s="21">
        <f>IF(AE188="","",IFERROR(TRIM(INDEX($A188:$X188,MATCH(Lists!$F$4,$A$1:$X$1,0))&amp;""),""))</f>
        <v/>
      </c>
      <c r="AH188" s="21">
        <f>IF(AE188="","",LOWER(IFERROR(TRIM(INDEX($A188:$X188,MATCH(Lists!$F$5,$A$1:$X$1,0))&amp;""),"")))</f>
        <v/>
      </c>
      <c r="AI188" s="21">
        <f>IF(AE188="","",IFERROR(TRIM(INDEX($A188:$X188,MATCH(Lists!$F$6,$A$1:$X$1,0))&amp;""),""))</f>
        <v/>
      </c>
      <c r="AJ188" s="21">
        <f>IF(AE188="","",IF(LEFT(IFERROR(TRIM(INDEX($A188:$X188,MATCH(Lists!$F$7,$A$1:$X$1,0))&amp;""),""),3)="Yes","Yes","No"))</f>
        <v/>
      </c>
      <c r="AK188" s="21">
        <f>IF(AE188="","",IFERROR(TRIM(INDEX($A188:$X188,MATCH(Lists!$F$8,$A$1:$X$1,0))&amp;""),""))</f>
        <v/>
      </c>
      <c r="AL188" s="21">
        <f>IF(AE188="","",IFERROR(IF(TRIM(INDEX($A188:$X188,MATCH(Lists!$F$9,$A$1:$X$1,0))&amp;"")="","",VALUE(TRIM(INDEX($A188:$X188,MATCH(Lists!$F$9,$A$1:$X$1,0))&amp;""))),""))</f>
        <v/>
      </c>
      <c r="AM188" s="21">
        <f>IF(AE188="","",IFERROR(TRIM(INDEX($A188:$X188,MATCH(Lists!$F$10,$A$1:$X$1,0))&amp;""),""))</f>
        <v/>
      </c>
      <c r="AN188" s="21">
        <f>IF(AE188="","",IF(OR(AM188="Paid",AM188="Partially refunded"),"Paid",IF(Z188="Yes","Paid (by hand)",IF(AM188&lt;&gt;"",AM188,"Unpaid"))))</f>
        <v/>
      </c>
      <c r="AO188" s="21">
        <f>IF(AD188=1,COUNTIFS($AE$2:$AE$301,"&lt;"&amp;AE188,$AD$2:$AD$301,1)+COUNTIF($AE$2:AE188,AE188),"")</f>
        <v/>
      </c>
    </row>
    <row r="189">
      <c r="Y189" s="19" t="n"/>
      <c r="Z189" s="22" t="n"/>
      <c r="AA189" s="22" t="n"/>
      <c r="AB189" s="22" t="n"/>
      <c r="AC189" s="19" t="n"/>
      <c r="AD189" s="21">
        <f>IF(AE189="",0,1)</f>
        <v/>
      </c>
      <c r="AE189" s="21">
        <f>IFERROR(TRIM(INDEX($A189:$X189,MATCH(Lists!$F$2,$A$1:$X$1,0))&amp;""),"")</f>
        <v/>
      </c>
      <c r="AF189" s="21">
        <f>IF(AE189="","",IFERROR(TRIM(INDEX($A189:$X189,MATCH(Lists!$F$3,$A$1:$X$1,0))&amp;""),""))</f>
        <v/>
      </c>
      <c r="AG189" s="21">
        <f>IF(AE189="","",IFERROR(TRIM(INDEX($A189:$X189,MATCH(Lists!$F$4,$A$1:$X$1,0))&amp;""),""))</f>
        <v/>
      </c>
      <c r="AH189" s="21">
        <f>IF(AE189="","",LOWER(IFERROR(TRIM(INDEX($A189:$X189,MATCH(Lists!$F$5,$A$1:$X$1,0))&amp;""),"")))</f>
        <v/>
      </c>
      <c r="AI189" s="21">
        <f>IF(AE189="","",IFERROR(TRIM(INDEX($A189:$X189,MATCH(Lists!$F$6,$A$1:$X$1,0))&amp;""),""))</f>
        <v/>
      </c>
      <c r="AJ189" s="21">
        <f>IF(AE189="","",IF(LEFT(IFERROR(TRIM(INDEX($A189:$X189,MATCH(Lists!$F$7,$A$1:$X$1,0))&amp;""),""),3)="Yes","Yes","No"))</f>
        <v/>
      </c>
      <c r="AK189" s="21">
        <f>IF(AE189="","",IFERROR(TRIM(INDEX($A189:$X189,MATCH(Lists!$F$8,$A$1:$X$1,0))&amp;""),""))</f>
        <v/>
      </c>
      <c r="AL189" s="21">
        <f>IF(AE189="","",IFERROR(IF(TRIM(INDEX($A189:$X189,MATCH(Lists!$F$9,$A$1:$X$1,0))&amp;"")="","",VALUE(TRIM(INDEX($A189:$X189,MATCH(Lists!$F$9,$A$1:$X$1,0))&amp;""))),""))</f>
        <v/>
      </c>
      <c r="AM189" s="21">
        <f>IF(AE189="","",IFERROR(TRIM(INDEX($A189:$X189,MATCH(Lists!$F$10,$A$1:$X$1,0))&amp;""),""))</f>
        <v/>
      </c>
      <c r="AN189" s="21">
        <f>IF(AE189="","",IF(OR(AM189="Paid",AM189="Partially refunded"),"Paid",IF(Z189="Yes","Paid (by hand)",IF(AM189&lt;&gt;"",AM189,"Unpaid"))))</f>
        <v/>
      </c>
      <c r="AO189" s="21">
        <f>IF(AD189=1,COUNTIFS($AE$2:$AE$301,"&lt;"&amp;AE189,$AD$2:$AD$301,1)+COUNTIF($AE$2:AE189,AE189),"")</f>
        <v/>
      </c>
    </row>
    <row r="190">
      <c r="Y190" s="19" t="n"/>
      <c r="Z190" s="22" t="n"/>
      <c r="AA190" s="22" t="n"/>
      <c r="AB190" s="22" t="n"/>
      <c r="AC190" s="19" t="n"/>
      <c r="AD190" s="21">
        <f>IF(AE190="",0,1)</f>
        <v/>
      </c>
      <c r="AE190" s="21">
        <f>IFERROR(TRIM(INDEX($A190:$X190,MATCH(Lists!$F$2,$A$1:$X$1,0))&amp;""),"")</f>
        <v/>
      </c>
      <c r="AF190" s="21">
        <f>IF(AE190="","",IFERROR(TRIM(INDEX($A190:$X190,MATCH(Lists!$F$3,$A$1:$X$1,0))&amp;""),""))</f>
        <v/>
      </c>
      <c r="AG190" s="21">
        <f>IF(AE190="","",IFERROR(TRIM(INDEX($A190:$X190,MATCH(Lists!$F$4,$A$1:$X$1,0))&amp;""),""))</f>
        <v/>
      </c>
      <c r="AH190" s="21">
        <f>IF(AE190="","",LOWER(IFERROR(TRIM(INDEX($A190:$X190,MATCH(Lists!$F$5,$A$1:$X$1,0))&amp;""),"")))</f>
        <v/>
      </c>
      <c r="AI190" s="21">
        <f>IF(AE190="","",IFERROR(TRIM(INDEX($A190:$X190,MATCH(Lists!$F$6,$A$1:$X$1,0))&amp;""),""))</f>
        <v/>
      </c>
      <c r="AJ190" s="21">
        <f>IF(AE190="","",IF(LEFT(IFERROR(TRIM(INDEX($A190:$X190,MATCH(Lists!$F$7,$A$1:$X$1,0))&amp;""),""),3)="Yes","Yes","No"))</f>
        <v/>
      </c>
      <c r="AK190" s="21">
        <f>IF(AE190="","",IFERROR(TRIM(INDEX($A190:$X190,MATCH(Lists!$F$8,$A$1:$X$1,0))&amp;""),""))</f>
        <v/>
      </c>
      <c r="AL190" s="21">
        <f>IF(AE190="","",IFERROR(IF(TRIM(INDEX($A190:$X190,MATCH(Lists!$F$9,$A$1:$X$1,0))&amp;"")="","",VALUE(TRIM(INDEX($A190:$X190,MATCH(Lists!$F$9,$A$1:$X$1,0))&amp;""))),""))</f>
        <v/>
      </c>
      <c r="AM190" s="21">
        <f>IF(AE190="","",IFERROR(TRIM(INDEX($A190:$X190,MATCH(Lists!$F$10,$A$1:$X$1,0))&amp;""),""))</f>
        <v/>
      </c>
      <c r="AN190" s="21">
        <f>IF(AE190="","",IF(OR(AM190="Paid",AM190="Partially refunded"),"Paid",IF(Z190="Yes","Paid (by hand)",IF(AM190&lt;&gt;"",AM190,"Unpaid"))))</f>
        <v/>
      </c>
      <c r="AO190" s="21">
        <f>IF(AD190=1,COUNTIFS($AE$2:$AE$301,"&lt;"&amp;AE190,$AD$2:$AD$301,1)+COUNTIF($AE$2:AE190,AE190),"")</f>
        <v/>
      </c>
    </row>
    <row r="191">
      <c r="Y191" s="19" t="n"/>
      <c r="Z191" s="22" t="n"/>
      <c r="AA191" s="22" t="n"/>
      <c r="AB191" s="22" t="n"/>
      <c r="AC191" s="19" t="n"/>
      <c r="AD191" s="21">
        <f>IF(AE191="",0,1)</f>
        <v/>
      </c>
      <c r="AE191" s="21">
        <f>IFERROR(TRIM(INDEX($A191:$X191,MATCH(Lists!$F$2,$A$1:$X$1,0))&amp;""),"")</f>
        <v/>
      </c>
      <c r="AF191" s="21">
        <f>IF(AE191="","",IFERROR(TRIM(INDEX($A191:$X191,MATCH(Lists!$F$3,$A$1:$X$1,0))&amp;""),""))</f>
        <v/>
      </c>
      <c r="AG191" s="21">
        <f>IF(AE191="","",IFERROR(TRIM(INDEX($A191:$X191,MATCH(Lists!$F$4,$A$1:$X$1,0))&amp;""),""))</f>
        <v/>
      </c>
      <c r="AH191" s="21">
        <f>IF(AE191="","",LOWER(IFERROR(TRIM(INDEX($A191:$X191,MATCH(Lists!$F$5,$A$1:$X$1,0))&amp;""),"")))</f>
        <v/>
      </c>
      <c r="AI191" s="21">
        <f>IF(AE191="","",IFERROR(TRIM(INDEX($A191:$X191,MATCH(Lists!$F$6,$A$1:$X$1,0))&amp;""),""))</f>
        <v/>
      </c>
      <c r="AJ191" s="21">
        <f>IF(AE191="","",IF(LEFT(IFERROR(TRIM(INDEX($A191:$X191,MATCH(Lists!$F$7,$A$1:$X$1,0))&amp;""),""),3)="Yes","Yes","No"))</f>
        <v/>
      </c>
      <c r="AK191" s="21">
        <f>IF(AE191="","",IFERROR(TRIM(INDEX($A191:$X191,MATCH(Lists!$F$8,$A$1:$X$1,0))&amp;""),""))</f>
        <v/>
      </c>
      <c r="AL191" s="21">
        <f>IF(AE191="","",IFERROR(IF(TRIM(INDEX($A191:$X191,MATCH(Lists!$F$9,$A$1:$X$1,0))&amp;"")="","",VALUE(TRIM(INDEX($A191:$X191,MATCH(Lists!$F$9,$A$1:$X$1,0))&amp;""))),""))</f>
        <v/>
      </c>
      <c r="AM191" s="21">
        <f>IF(AE191="","",IFERROR(TRIM(INDEX($A191:$X191,MATCH(Lists!$F$10,$A$1:$X$1,0))&amp;""),""))</f>
        <v/>
      </c>
      <c r="AN191" s="21">
        <f>IF(AE191="","",IF(OR(AM191="Paid",AM191="Partially refunded"),"Paid",IF(Z191="Yes","Paid (by hand)",IF(AM191&lt;&gt;"",AM191,"Unpaid"))))</f>
        <v/>
      </c>
      <c r="AO191" s="21">
        <f>IF(AD191=1,COUNTIFS($AE$2:$AE$301,"&lt;"&amp;AE191,$AD$2:$AD$301,1)+COUNTIF($AE$2:AE191,AE191),"")</f>
        <v/>
      </c>
    </row>
    <row r="192">
      <c r="Y192" s="19" t="n"/>
      <c r="Z192" s="22" t="n"/>
      <c r="AA192" s="22" t="n"/>
      <c r="AB192" s="22" t="n"/>
      <c r="AC192" s="19" t="n"/>
      <c r="AD192" s="21">
        <f>IF(AE192="",0,1)</f>
        <v/>
      </c>
      <c r="AE192" s="21">
        <f>IFERROR(TRIM(INDEX($A192:$X192,MATCH(Lists!$F$2,$A$1:$X$1,0))&amp;""),"")</f>
        <v/>
      </c>
      <c r="AF192" s="21">
        <f>IF(AE192="","",IFERROR(TRIM(INDEX($A192:$X192,MATCH(Lists!$F$3,$A$1:$X$1,0))&amp;""),""))</f>
        <v/>
      </c>
      <c r="AG192" s="21">
        <f>IF(AE192="","",IFERROR(TRIM(INDEX($A192:$X192,MATCH(Lists!$F$4,$A$1:$X$1,0))&amp;""),""))</f>
        <v/>
      </c>
      <c r="AH192" s="21">
        <f>IF(AE192="","",LOWER(IFERROR(TRIM(INDEX($A192:$X192,MATCH(Lists!$F$5,$A$1:$X$1,0))&amp;""),"")))</f>
        <v/>
      </c>
      <c r="AI192" s="21">
        <f>IF(AE192="","",IFERROR(TRIM(INDEX($A192:$X192,MATCH(Lists!$F$6,$A$1:$X$1,0))&amp;""),""))</f>
        <v/>
      </c>
      <c r="AJ192" s="21">
        <f>IF(AE192="","",IF(LEFT(IFERROR(TRIM(INDEX($A192:$X192,MATCH(Lists!$F$7,$A$1:$X$1,0))&amp;""),""),3)="Yes","Yes","No"))</f>
        <v/>
      </c>
      <c r="AK192" s="21">
        <f>IF(AE192="","",IFERROR(TRIM(INDEX($A192:$X192,MATCH(Lists!$F$8,$A$1:$X$1,0))&amp;""),""))</f>
        <v/>
      </c>
      <c r="AL192" s="21">
        <f>IF(AE192="","",IFERROR(IF(TRIM(INDEX($A192:$X192,MATCH(Lists!$F$9,$A$1:$X$1,0))&amp;"")="","",VALUE(TRIM(INDEX($A192:$X192,MATCH(Lists!$F$9,$A$1:$X$1,0))&amp;""))),""))</f>
        <v/>
      </c>
      <c r="AM192" s="21">
        <f>IF(AE192="","",IFERROR(TRIM(INDEX($A192:$X192,MATCH(Lists!$F$10,$A$1:$X$1,0))&amp;""),""))</f>
        <v/>
      </c>
      <c r="AN192" s="21">
        <f>IF(AE192="","",IF(OR(AM192="Paid",AM192="Partially refunded"),"Paid",IF(Z192="Yes","Paid (by hand)",IF(AM192&lt;&gt;"",AM192,"Unpaid"))))</f>
        <v/>
      </c>
      <c r="AO192" s="21">
        <f>IF(AD192=1,COUNTIFS($AE$2:$AE$301,"&lt;"&amp;AE192,$AD$2:$AD$301,1)+COUNTIF($AE$2:AE192,AE192),"")</f>
        <v/>
      </c>
    </row>
    <row r="193">
      <c r="Y193" s="19" t="n"/>
      <c r="Z193" s="22" t="n"/>
      <c r="AA193" s="22" t="n"/>
      <c r="AB193" s="22" t="n"/>
      <c r="AC193" s="19" t="n"/>
      <c r="AD193" s="21">
        <f>IF(AE193="",0,1)</f>
        <v/>
      </c>
      <c r="AE193" s="21">
        <f>IFERROR(TRIM(INDEX($A193:$X193,MATCH(Lists!$F$2,$A$1:$X$1,0))&amp;""),"")</f>
        <v/>
      </c>
      <c r="AF193" s="21">
        <f>IF(AE193="","",IFERROR(TRIM(INDEX($A193:$X193,MATCH(Lists!$F$3,$A$1:$X$1,0))&amp;""),""))</f>
        <v/>
      </c>
      <c r="AG193" s="21">
        <f>IF(AE193="","",IFERROR(TRIM(INDEX($A193:$X193,MATCH(Lists!$F$4,$A$1:$X$1,0))&amp;""),""))</f>
        <v/>
      </c>
      <c r="AH193" s="21">
        <f>IF(AE193="","",LOWER(IFERROR(TRIM(INDEX($A193:$X193,MATCH(Lists!$F$5,$A$1:$X$1,0))&amp;""),"")))</f>
        <v/>
      </c>
      <c r="AI193" s="21">
        <f>IF(AE193="","",IFERROR(TRIM(INDEX($A193:$X193,MATCH(Lists!$F$6,$A$1:$X$1,0))&amp;""),""))</f>
        <v/>
      </c>
      <c r="AJ193" s="21">
        <f>IF(AE193="","",IF(LEFT(IFERROR(TRIM(INDEX($A193:$X193,MATCH(Lists!$F$7,$A$1:$X$1,0))&amp;""),""),3)="Yes","Yes","No"))</f>
        <v/>
      </c>
      <c r="AK193" s="21">
        <f>IF(AE193="","",IFERROR(TRIM(INDEX($A193:$X193,MATCH(Lists!$F$8,$A$1:$X$1,0))&amp;""),""))</f>
        <v/>
      </c>
      <c r="AL193" s="21">
        <f>IF(AE193="","",IFERROR(IF(TRIM(INDEX($A193:$X193,MATCH(Lists!$F$9,$A$1:$X$1,0))&amp;"")="","",VALUE(TRIM(INDEX($A193:$X193,MATCH(Lists!$F$9,$A$1:$X$1,0))&amp;""))),""))</f>
        <v/>
      </c>
      <c r="AM193" s="21">
        <f>IF(AE193="","",IFERROR(TRIM(INDEX($A193:$X193,MATCH(Lists!$F$10,$A$1:$X$1,0))&amp;""),""))</f>
        <v/>
      </c>
      <c r="AN193" s="21">
        <f>IF(AE193="","",IF(OR(AM193="Paid",AM193="Partially refunded"),"Paid",IF(Z193="Yes","Paid (by hand)",IF(AM193&lt;&gt;"",AM193,"Unpaid"))))</f>
        <v/>
      </c>
      <c r="AO193" s="21">
        <f>IF(AD193=1,COUNTIFS($AE$2:$AE$301,"&lt;"&amp;AE193,$AD$2:$AD$301,1)+COUNTIF($AE$2:AE193,AE193),"")</f>
        <v/>
      </c>
    </row>
    <row r="194">
      <c r="Y194" s="19" t="n"/>
      <c r="Z194" s="22" t="n"/>
      <c r="AA194" s="22" t="n"/>
      <c r="AB194" s="22" t="n"/>
      <c r="AC194" s="19" t="n"/>
      <c r="AD194" s="21">
        <f>IF(AE194="",0,1)</f>
        <v/>
      </c>
      <c r="AE194" s="21">
        <f>IFERROR(TRIM(INDEX($A194:$X194,MATCH(Lists!$F$2,$A$1:$X$1,0))&amp;""),"")</f>
        <v/>
      </c>
      <c r="AF194" s="21">
        <f>IF(AE194="","",IFERROR(TRIM(INDEX($A194:$X194,MATCH(Lists!$F$3,$A$1:$X$1,0))&amp;""),""))</f>
        <v/>
      </c>
      <c r="AG194" s="21">
        <f>IF(AE194="","",IFERROR(TRIM(INDEX($A194:$X194,MATCH(Lists!$F$4,$A$1:$X$1,0))&amp;""),""))</f>
        <v/>
      </c>
      <c r="AH194" s="21">
        <f>IF(AE194="","",LOWER(IFERROR(TRIM(INDEX($A194:$X194,MATCH(Lists!$F$5,$A$1:$X$1,0))&amp;""),"")))</f>
        <v/>
      </c>
      <c r="AI194" s="21">
        <f>IF(AE194="","",IFERROR(TRIM(INDEX($A194:$X194,MATCH(Lists!$F$6,$A$1:$X$1,0))&amp;""),""))</f>
        <v/>
      </c>
      <c r="AJ194" s="21">
        <f>IF(AE194="","",IF(LEFT(IFERROR(TRIM(INDEX($A194:$X194,MATCH(Lists!$F$7,$A$1:$X$1,0))&amp;""),""),3)="Yes","Yes","No"))</f>
        <v/>
      </c>
      <c r="AK194" s="21">
        <f>IF(AE194="","",IFERROR(TRIM(INDEX($A194:$X194,MATCH(Lists!$F$8,$A$1:$X$1,0))&amp;""),""))</f>
        <v/>
      </c>
      <c r="AL194" s="21">
        <f>IF(AE194="","",IFERROR(IF(TRIM(INDEX($A194:$X194,MATCH(Lists!$F$9,$A$1:$X$1,0))&amp;"")="","",VALUE(TRIM(INDEX($A194:$X194,MATCH(Lists!$F$9,$A$1:$X$1,0))&amp;""))),""))</f>
        <v/>
      </c>
      <c r="AM194" s="21">
        <f>IF(AE194="","",IFERROR(TRIM(INDEX($A194:$X194,MATCH(Lists!$F$10,$A$1:$X$1,0))&amp;""),""))</f>
        <v/>
      </c>
      <c r="AN194" s="21">
        <f>IF(AE194="","",IF(OR(AM194="Paid",AM194="Partially refunded"),"Paid",IF(Z194="Yes","Paid (by hand)",IF(AM194&lt;&gt;"",AM194,"Unpaid"))))</f>
        <v/>
      </c>
      <c r="AO194" s="21">
        <f>IF(AD194=1,COUNTIFS($AE$2:$AE$301,"&lt;"&amp;AE194,$AD$2:$AD$301,1)+COUNTIF($AE$2:AE194,AE194),"")</f>
        <v/>
      </c>
    </row>
    <row r="195">
      <c r="Y195" s="19" t="n"/>
      <c r="Z195" s="22" t="n"/>
      <c r="AA195" s="22" t="n"/>
      <c r="AB195" s="22" t="n"/>
      <c r="AC195" s="19" t="n"/>
      <c r="AD195" s="21">
        <f>IF(AE195="",0,1)</f>
        <v/>
      </c>
      <c r="AE195" s="21">
        <f>IFERROR(TRIM(INDEX($A195:$X195,MATCH(Lists!$F$2,$A$1:$X$1,0))&amp;""),"")</f>
        <v/>
      </c>
      <c r="AF195" s="21">
        <f>IF(AE195="","",IFERROR(TRIM(INDEX($A195:$X195,MATCH(Lists!$F$3,$A$1:$X$1,0))&amp;""),""))</f>
        <v/>
      </c>
      <c r="AG195" s="21">
        <f>IF(AE195="","",IFERROR(TRIM(INDEX($A195:$X195,MATCH(Lists!$F$4,$A$1:$X$1,0))&amp;""),""))</f>
        <v/>
      </c>
      <c r="AH195" s="21">
        <f>IF(AE195="","",LOWER(IFERROR(TRIM(INDEX($A195:$X195,MATCH(Lists!$F$5,$A$1:$X$1,0))&amp;""),"")))</f>
        <v/>
      </c>
      <c r="AI195" s="21">
        <f>IF(AE195="","",IFERROR(TRIM(INDEX($A195:$X195,MATCH(Lists!$F$6,$A$1:$X$1,0))&amp;""),""))</f>
        <v/>
      </c>
      <c r="AJ195" s="21">
        <f>IF(AE195="","",IF(LEFT(IFERROR(TRIM(INDEX($A195:$X195,MATCH(Lists!$F$7,$A$1:$X$1,0))&amp;""),""),3)="Yes","Yes","No"))</f>
        <v/>
      </c>
      <c r="AK195" s="21">
        <f>IF(AE195="","",IFERROR(TRIM(INDEX($A195:$X195,MATCH(Lists!$F$8,$A$1:$X$1,0))&amp;""),""))</f>
        <v/>
      </c>
      <c r="AL195" s="21">
        <f>IF(AE195="","",IFERROR(IF(TRIM(INDEX($A195:$X195,MATCH(Lists!$F$9,$A$1:$X$1,0))&amp;"")="","",VALUE(TRIM(INDEX($A195:$X195,MATCH(Lists!$F$9,$A$1:$X$1,0))&amp;""))),""))</f>
        <v/>
      </c>
      <c r="AM195" s="21">
        <f>IF(AE195="","",IFERROR(TRIM(INDEX($A195:$X195,MATCH(Lists!$F$10,$A$1:$X$1,0))&amp;""),""))</f>
        <v/>
      </c>
      <c r="AN195" s="21">
        <f>IF(AE195="","",IF(OR(AM195="Paid",AM195="Partially refunded"),"Paid",IF(Z195="Yes","Paid (by hand)",IF(AM195&lt;&gt;"",AM195,"Unpaid"))))</f>
        <v/>
      </c>
      <c r="AO195" s="21">
        <f>IF(AD195=1,COUNTIFS($AE$2:$AE$301,"&lt;"&amp;AE195,$AD$2:$AD$301,1)+COUNTIF($AE$2:AE195,AE195),"")</f>
        <v/>
      </c>
    </row>
    <row r="196">
      <c r="Y196" s="19" t="n"/>
      <c r="Z196" s="22" t="n"/>
      <c r="AA196" s="22" t="n"/>
      <c r="AB196" s="22" t="n"/>
      <c r="AC196" s="19" t="n"/>
      <c r="AD196" s="21">
        <f>IF(AE196="",0,1)</f>
        <v/>
      </c>
      <c r="AE196" s="21">
        <f>IFERROR(TRIM(INDEX($A196:$X196,MATCH(Lists!$F$2,$A$1:$X$1,0))&amp;""),"")</f>
        <v/>
      </c>
      <c r="AF196" s="21">
        <f>IF(AE196="","",IFERROR(TRIM(INDEX($A196:$X196,MATCH(Lists!$F$3,$A$1:$X$1,0))&amp;""),""))</f>
        <v/>
      </c>
      <c r="AG196" s="21">
        <f>IF(AE196="","",IFERROR(TRIM(INDEX($A196:$X196,MATCH(Lists!$F$4,$A$1:$X$1,0))&amp;""),""))</f>
        <v/>
      </c>
      <c r="AH196" s="21">
        <f>IF(AE196="","",LOWER(IFERROR(TRIM(INDEX($A196:$X196,MATCH(Lists!$F$5,$A$1:$X$1,0))&amp;""),"")))</f>
        <v/>
      </c>
      <c r="AI196" s="21">
        <f>IF(AE196="","",IFERROR(TRIM(INDEX($A196:$X196,MATCH(Lists!$F$6,$A$1:$X$1,0))&amp;""),""))</f>
        <v/>
      </c>
      <c r="AJ196" s="21">
        <f>IF(AE196="","",IF(LEFT(IFERROR(TRIM(INDEX($A196:$X196,MATCH(Lists!$F$7,$A$1:$X$1,0))&amp;""),""),3)="Yes","Yes","No"))</f>
        <v/>
      </c>
      <c r="AK196" s="21">
        <f>IF(AE196="","",IFERROR(TRIM(INDEX($A196:$X196,MATCH(Lists!$F$8,$A$1:$X$1,0))&amp;""),""))</f>
        <v/>
      </c>
      <c r="AL196" s="21">
        <f>IF(AE196="","",IFERROR(IF(TRIM(INDEX($A196:$X196,MATCH(Lists!$F$9,$A$1:$X$1,0))&amp;"")="","",VALUE(TRIM(INDEX($A196:$X196,MATCH(Lists!$F$9,$A$1:$X$1,0))&amp;""))),""))</f>
        <v/>
      </c>
      <c r="AM196" s="21">
        <f>IF(AE196="","",IFERROR(TRIM(INDEX($A196:$X196,MATCH(Lists!$F$10,$A$1:$X$1,0))&amp;""),""))</f>
        <v/>
      </c>
      <c r="AN196" s="21">
        <f>IF(AE196="","",IF(OR(AM196="Paid",AM196="Partially refunded"),"Paid",IF(Z196="Yes","Paid (by hand)",IF(AM196&lt;&gt;"",AM196,"Unpaid"))))</f>
        <v/>
      </c>
      <c r="AO196" s="21">
        <f>IF(AD196=1,COUNTIFS($AE$2:$AE$301,"&lt;"&amp;AE196,$AD$2:$AD$301,1)+COUNTIF($AE$2:AE196,AE196),"")</f>
        <v/>
      </c>
    </row>
    <row r="197">
      <c r="Y197" s="19" t="n"/>
      <c r="Z197" s="22" t="n"/>
      <c r="AA197" s="22" t="n"/>
      <c r="AB197" s="22" t="n"/>
      <c r="AC197" s="19" t="n"/>
      <c r="AD197" s="21">
        <f>IF(AE197="",0,1)</f>
        <v/>
      </c>
      <c r="AE197" s="21">
        <f>IFERROR(TRIM(INDEX($A197:$X197,MATCH(Lists!$F$2,$A$1:$X$1,0))&amp;""),"")</f>
        <v/>
      </c>
      <c r="AF197" s="21">
        <f>IF(AE197="","",IFERROR(TRIM(INDEX($A197:$X197,MATCH(Lists!$F$3,$A$1:$X$1,0))&amp;""),""))</f>
        <v/>
      </c>
      <c r="AG197" s="21">
        <f>IF(AE197="","",IFERROR(TRIM(INDEX($A197:$X197,MATCH(Lists!$F$4,$A$1:$X$1,0))&amp;""),""))</f>
        <v/>
      </c>
      <c r="AH197" s="21">
        <f>IF(AE197="","",LOWER(IFERROR(TRIM(INDEX($A197:$X197,MATCH(Lists!$F$5,$A$1:$X$1,0))&amp;""),"")))</f>
        <v/>
      </c>
      <c r="AI197" s="21">
        <f>IF(AE197="","",IFERROR(TRIM(INDEX($A197:$X197,MATCH(Lists!$F$6,$A$1:$X$1,0))&amp;""),""))</f>
        <v/>
      </c>
      <c r="AJ197" s="21">
        <f>IF(AE197="","",IF(LEFT(IFERROR(TRIM(INDEX($A197:$X197,MATCH(Lists!$F$7,$A$1:$X$1,0))&amp;""),""),3)="Yes","Yes","No"))</f>
        <v/>
      </c>
      <c r="AK197" s="21">
        <f>IF(AE197="","",IFERROR(TRIM(INDEX($A197:$X197,MATCH(Lists!$F$8,$A$1:$X$1,0))&amp;""),""))</f>
        <v/>
      </c>
      <c r="AL197" s="21">
        <f>IF(AE197="","",IFERROR(IF(TRIM(INDEX($A197:$X197,MATCH(Lists!$F$9,$A$1:$X$1,0))&amp;"")="","",VALUE(TRIM(INDEX($A197:$X197,MATCH(Lists!$F$9,$A$1:$X$1,0))&amp;""))),""))</f>
        <v/>
      </c>
      <c r="AM197" s="21">
        <f>IF(AE197="","",IFERROR(TRIM(INDEX($A197:$X197,MATCH(Lists!$F$10,$A$1:$X$1,0))&amp;""),""))</f>
        <v/>
      </c>
      <c r="AN197" s="21">
        <f>IF(AE197="","",IF(OR(AM197="Paid",AM197="Partially refunded"),"Paid",IF(Z197="Yes","Paid (by hand)",IF(AM197&lt;&gt;"",AM197,"Unpaid"))))</f>
        <v/>
      </c>
      <c r="AO197" s="21">
        <f>IF(AD197=1,COUNTIFS($AE$2:$AE$301,"&lt;"&amp;AE197,$AD$2:$AD$301,1)+COUNTIF($AE$2:AE197,AE197),"")</f>
        <v/>
      </c>
    </row>
    <row r="198">
      <c r="Y198" s="19" t="n"/>
      <c r="Z198" s="22" t="n"/>
      <c r="AA198" s="22" t="n"/>
      <c r="AB198" s="22" t="n"/>
      <c r="AC198" s="19" t="n"/>
      <c r="AD198" s="21">
        <f>IF(AE198="",0,1)</f>
        <v/>
      </c>
      <c r="AE198" s="21">
        <f>IFERROR(TRIM(INDEX($A198:$X198,MATCH(Lists!$F$2,$A$1:$X$1,0))&amp;""),"")</f>
        <v/>
      </c>
      <c r="AF198" s="21">
        <f>IF(AE198="","",IFERROR(TRIM(INDEX($A198:$X198,MATCH(Lists!$F$3,$A$1:$X$1,0))&amp;""),""))</f>
        <v/>
      </c>
      <c r="AG198" s="21">
        <f>IF(AE198="","",IFERROR(TRIM(INDEX($A198:$X198,MATCH(Lists!$F$4,$A$1:$X$1,0))&amp;""),""))</f>
        <v/>
      </c>
      <c r="AH198" s="21">
        <f>IF(AE198="","",LOWER(IFERROR(TRIM(INDEX($A198:$X198,MATCH(Lists!$F$5,$A$1:$X$1,0))&amp;""),"")))</f>
        <v/>
      </c>
      <c r="AI198" s="21">
        <f>IF(AE198="","",IFERROR(TRIM(INDEX($A198:$X198,MATCH(Lists!$F$6,$A$1:$X$1,0))&amp;""),""))</f>
        <v/>
      </c>
      <c r="AJ198" s="21">
        <f>IF(AE198="","",IF(LEFT(IFERROR(TRIM(INDEX($A198:$X198,MATCH(Lists!$F$7,$A$1:$X$1,0))&amp;""),""),3)="Yes","Yes","No"))</f>
        <v/>
      </c>
      <c r="AK198" s="21">
        <f>IF(AE198="","",IFERROR(TRIM(INDEX($A198:$X198,MATCH(Lists!$F$8,$A$1:$X$1,0))&amp;""),""))</f>
        <v/>
      </c>
      <c r="AL198" s="21">
        <f>IF(AE198="","",IFERROR(IF(TRIM(INDEX($A198:$X198,MATCH(Lists!$F$9,$A$1:$X$1,0))&amp;"")="","",VALUE(TRIM(INDEX($A198:$X198,MATCH(Lists!$F$9,$A$1:$X$1,0))&amp;""))),""))</f>
        <v/>
      </c>
      <c r="AM198" s="21">
        <f>IF(AE198="","",IFERROR(TRIM(INDEX($A198:$X198,MATCH(Lists!$F$10,$A$1:$X$1,0))&amp;""),""))</f>
        <v/>
      </c>
      <c r="AN198" s="21">
        <f>IF(AE198="","",IF(OR(AM198="Paid",AM198="Partially refunded"),"Paid",IF(Z198="Yes","Paid (by hand)",IF(AM198&lt;&gt;"",AM198,"Unpaid"))))</f>
        <v/>
      </c>
      <c r="AO198" s="21">
        <f>IF(AD198=1,COUNTIFS($AE$2:$AE$301,"&lt;"&amp;AE198,$AD$2:$AD$301,1)+COUNTIF($AE$2:AE198,AE198),"")</f>
        <v/>
      </c>
    </row>
    <row r="199">
      <c r="Y199" s="19" t="n"/>
      <c r="Z199" s="22" t="n"/>
      <c r="AA199" s="22" t="n"/>
      <c r="AB199" s="22" t="n"/>
      <c r="AC199" s="19" t="n"/>
      <c r="AD199" s="21">
        <f>IF(AE199="",0,1)</f>
        <v/>
      </c>
      <c r="AE199" s="21">
        <f>IFERROR(TRIM(INDEX($A199:$X199,MATCH(Lists!$F$2,$A$1:$X$1,0))&amp;""),"")</f>
        <v/>
      </c>
      <c r="AF199" s="21">
        <f>IF(AE199="","",IFERROR(TRIM(INDEX($A199:$X199,MATCH(Lists!$F$3,$A$1:$X$1,0))&amp;""),""))</f>
        <v/>
      </c>
      <c r="AG199" s="21">
        <f>IF(AE199="","",IFERROR(TRIM(INDEX($A199:$X199,MATCH(Lists!$F$4,$A$1:$X$1,0))&amp;""),""))</f>
        <v/>
      </c>
      <c r="AH199" s="21">
        <f>IF(AE199="","",LOWER(IFERROR(TRIM(INDEX($A199:$X199,MATCH(Lists!$F$5,$A$1:$X$1,0))&amp;""),"")))</f>
        <v/>
      </c>
      <c r="AI199" s="21">
        <f>IF(AE199="","",IFERROR(TRIM(INDEX($A199:$X199,MATCH(Lists!$F$6,$A$1:$X$1,0))&amp;""),""))</f>
        <v/>
      </c>
      <c r="AJ199" s="21">
        <f>IF(AE199="","",IF(LEFT(IFERROR(TRIM(INDEX($A199:$X199,MATCH(Lists!$F$7,$A$1:$X$1,0))&amp;""),""),3)="Yes","Yes","No"))</f>
        <v/>
      </c>
      <c r="AK199" s="21">
        <f>IF(AE199="","",IFERROR(TRIM(INDEX($A199:$X199,MATCH(Lists!$F$8,$A$1:$X$1,0))&amp;""),""))</f>
        <v/>
      </c>
      <c r="AL199" s="21">
        <f>IF(AE199="","",IFERROR(IF(TRIM(INDEX($A199:$X199,MATCH(Lists!$F$9,$A$1:$X$1,0))&amp;"")="","",VALUE(TRIM(INDEX($A199:$X199,MATCH(Lists!$F$9,$A$1:$X$1,0))&amp;""))),""))</f>
        <v/>
      </c>
      <c r="AM199" s="21">
        <f>IF(AE199="","",IFERROR(TRIM(INDEX($A199:$X199,MATCH(Lists!$F$10,$A$1:$X$1,0))&amp;""),""))</f>
        <v/>
      </c>
      <c r="AN199" s="21">
        <f>IF(AE199="","",IF(OR(AM199="Paid",AM199="Partially refunded"),"Paid",IF(Z199="Yes","Paid (by hand)",IF(AM199&lt;&gt;"",AM199,"Unpaid"))))</f>
        <v/>
      </c>
      <c r="AO199" s="21">
        <f>IF(AD199=1,COUNTIFS($AE$2:$AE$301,"&lt;"&amp;AE199,$AD$2:$AD$301,1)+COUNTIF($AE$2:AE199,AE199),"")</f>
        <v/>
      </c>
    </row>
    <row r="200">
      <c r="Y200" s="19" t="n"/>
      <c r="Z200" s="22" t="n"/>
      <c r="AA200" s="22" t="n"/>
      <c r="AB200" s="22" t="n"/>
      <c r="AC200" s="19" t="n"/>
      <c r="AD200" s="21">
        <f>IF(AE200="",0,1)</f>
        <v/>
      </c>
      <c r="AE200" s="21">
        <f>IFERROR(TRIM(INDEX($A200:$X200,MATCH(Lists!$F$2,$A$1:$X$1,0))&amp;""),"")</f>
        <v/>
      </c>
      <c r="AF200" s="21">
        <f>IF(AE200="","",IFERROR(TRIM(INDEX($A200:$X200,MATCH(Lists!$F$3,$A$1:$X$1,0))&amp;""),""))</f>
        <v/>
      </c>
      <c r="AG200" s="21">
        <f>IF(AE200="","",IFERROR(TRIM(INDEX($A200:$X200,MATCH(Lists!$F$4,$A$1:$X$1,0))&amp;""),""))</f>
        <v/>
      </c>
      <c r="AH200" s="21">
        <f>IF(AE200="","",LOWER(IFERROR(TRIM(INDEX($A200:$X200,MATCH(Lists!$F$5,$A$1:$X$1,0))&amp;""),"")))</f>
        <v/>
      </c>
      <c r="AI200" s="21">
        <f>IF(AE200="","",IFERROR(TRIM(INDEX($A200:$X200,MATCH(Lists!$F$6,$A$1:$X$1,0))&amp;""),""))</f>
        <v/>
      </c>
      <c r="AJ200" s="21">
        <f>IF(AE200="","",IF(LEFT(IFERROR(TRIM(INDEX($A200:$X200,MATCH(Lists!$F$7,$A$1:$X$1,0))&amp;""),""),3)="Yes","Yes","No"))</f>
        <v/>
      </c>
      <c r="AK200" s="21">
        <f>IF(AE200="","",IFERROR(TRIM(INDEX($A200:$X200,MATCH(Lists!$F$8,$A$1:$X$1,0))&amp;""),""))</f>
        <v/>
      </c>
      <c r="AL200" s="21">
        <f>IF(AE200="","",IFERROR(IF(TRIM(INDEX($A200:$X200,MATCH(Lists!$F$9,$A$1:$X$1,0))&amp;"")="","",VALUE(TRIM(INDEX($A200:$X200,MATCH(Lists!$F$9,$A$1:$X$1,0))&amp;""))),""))</f>
        <v/>
      </c>
      <c r="AM200" s="21">
        <f>IF(AE200="","",IFERROR(TRIM(INDEX($A200:$X200,MATCH(Lists!$F$10,$A$1:$X$1,0))&amp;""),""))</f>
        <v/>
      </c>
      <c r="AN200" s="21">
        <f>IF(AE200="","",IF(OR(AM200="Paid",AM200="Partially refunded"),"Paid",IF(Z200="Yes","Paid (by hand)",IF(AM200&lt;&gt;"",AM200,"Unpaid"))))</f>
        <v/>
      </c>
      <c r="AO200" s="21">
        <f>IF(AD200=1,COUNTIFS($AE$2:$AE$301,"&lt;"&amp;AE200,$AD$2:$AD$301,1)+COUNTIF($AE$2:AE200,AE200),"")</f>
        <v/>
      </c>
    </row>
    <row r="201">
      <c r="Y201" s="19" t="n"/>
      <c r="Z201" s="22" t="n"/>
      <c r="AA201" s="22" t="n"/>
      <c r="AB201" s="22" t="n"/>
      <c r="AC201" s="19" t="n"/>
      <c r="AD201" s="21">
        <f>IF(AE201="",0,1)</f>
        <v/>
      </c>
      <c r="AE201" s="21">
        <f>IFERROR(TRIM(INDEX($A201:$X201,MATCH(Lists!$F$2,$A$1:$X$1,0))&amp;""),"")</f>
        <v/>
      </c>
      <c r="AF201" s="21">
        <f>IF(AE201="","",IFERROR(TRIM(INDEX($A201:$X201,MATCH(Lists!$F$3,$A$1:$X$1,0))&amp;""),""))</f>
        <v/>
      </c>
      <c r="AG201" s="21">
        <f>IF(AE201="","",IFERROR(TRIM(INDEX($A201:$X201,MATCH(Lists!$F$4,$A$1:$X$1,0))&amp;""),""))</f>
        <v/>
      </c>
      <c r="AH201" s="21">
        <f>IF(AE201="","",LOWER(IFERROR(TRIM(INDEX($A201:$X201,MATCH(Lists!$F$5,$A$1:$X$1,0))&amp;""),"")))</f>
        <v/>
      </c>
      <c r="AI201" s="21">
        <f>IF(AE201="","",IFERROR(TRIM(INDEX($A201:$X201,MATCH(Lists!$F$6,$A$1:$X$1,0))&amp;""),""))</f>
        <v/>
      </c>
      <c r="AJ201" s="21">
        <f>IF(AE201="","",IF(LEFT(IFERROR(TRIM(INDEX($A201:$X201,MATCH(Lists!$F$7,$A$1:$X$1,0))&amp;""),""),3)="Yes","Yes","No"))</f>
        <v/>
      </c>
      <c r="AK201" s="21">
        <f>IF(AE201="","",IFERROR(TRIM(INDEX($A201:$X201,MATCH(Lists!$F$8,$A$1:$X$1,0))&amp;""),""))</f>
        <v/>
      </c>
      <c r="AL201" s="21">
        <f>IF(AE201="","",IFERROR(IF(TRIM(INDEX($A201:$X201,MATCH(Lists!$F$9,$A$1:$X$1,0))&amp;"")="","",VALUE(TRIM(INDEX($A201:$X201,MATCH(Lists!$F$9,$A$1:$X$1,0))&amp;""))),""))</f>
        <v/>
      </c>
      <c r="AM201" s="21">
        <f>IF(AE201="","",IFERROR(TRIM(INDEX($A201:$X201,MATCH(Lists!$F$10,$A$1:$X$1,0))&amp;""),""))</f>
        <v/>
      </c>
      <c r="AN201" s="21">
        <f>IF(AE201="","",IF(OR(AM201="Paid",AM201="Partially refunded"),"Paid",IF(Z201="Yes","Paid (by hand)",IF(AM201&lt;&gt;"",AM201,"Unpaid"))))</f>
        <v/>
      </c>
      <c r="AO201" s="21">
        <f>IF(AD201=1,COUNTIFS($AE$2:$AE$301,"&lt;"&amp;AE201,$AD$2:$AD$301,1)+COUNTIF($AE$2:AE201,AE201),"")</f>
        <v/>
      </c>
    </row>
    <row r="202">
      <c r="Y202" s="19" t="n"/>
      <c r="Z202" s="22" t="n"/>
      <c r="AA202" s="22" t="n"/>
      <c r="AB202" s="22" t="n"/>
      <c r="AC202" s="19" t="n"/>
      <c r="AD202" s="21">
        <f>IF(AE202="",0,1)</f>
        <v/>
      </c>
      <c r="AE202" s="21">
        <f>IFERROR(TRIM(INDEX($A202:$X202,MATCH(Lists!$F$2,$A$1:$X$1,0))&amp;""),"")</f>
        <v/>
      </c>
      <c r="AF202" s="21">
        <f>IF(AE202="","",IFERROR(TRIM(INDEX($A202:$X202,MATCH(Lists!$F$3,$A$1:$X$1,0))&amp;""),""))</f>
        <v/>
      </c>
      <c r="AG202" s="21">
        <f>IF(AE202="","",IFERROR(TRIM(INDEX($A202:$X202,MATCH(Lists!$F$4,$A$1:$X$1,0))&amp;""),""))</f>
        <v/>
      </c>
      <c r="AH202" s="21">
        <f>IF(AE202="","",LOWER(IFERROR(TRIM(INDEX($A202:$X202,MATCH(Lists!$F$5,$A$1:$X$1,0))&amp;""),"")))</f>
        <v/>
      </c>
      <c r="AI202" s="21">
        <f>IF(AE202="","",IFERROR(TRIM(INDEX($A202:$X202,MATCH(Lists!$F$6,$A$1:$X$1,0))&amp;""),""))</f>
        <v/>
      </c>
      <c r="AJ202" s="21">
        <f>IF(AE202="","",IF(LEFT(IFERROR(TRIM(INDEX($A202:$X202,MATCH(Lists!$F$7,$A$1:$X$1,0))&amp;""),""),3)="Yes","Yes","No"))</f>
        <v/>
      </c>
      <c r="AK202" s="21">
        <f>IF(AE202="","",IFERROR(TRIM(INDEX($A202:$X202,MATCH(Lists!$F$8,$A$1:$X$1,0))&amp;""),""))</f>
        <v/>
      </c>
      <c r="AL202" s="21">
        <f>IF(AE202="","",IFERROR(IF(TRIM(INDEX($A202:$X202,MATCH(Lists!$F$9,$A$1:$X$1,0))&amp;"")="","",VALUE(TRIM(INDEX($A202:$X202,MATCH(Lists!$F$9,$A$1:$X$1,0))&amp;""))),""))</f>
        <v/>
      </c>
      <c r="AM202" s="21">
        <f>IF(AE202="","",IFERROR(TRIM(INDEX($A202:$X202,MATCH(Lists!$F$10,$A$1:$X$1,0))&amp;""),""))</f>
        <v/>
      </c>
      <c r="AN202" s="21">
        <f>IF(AE202="","",IF(OR(AM202="Paid",AM202="Partially refunded"),"Paid",IF(Z202="Yes","Paid (by hand)",IF(AM202&lt;&gt;"",AM202,"Unpaid"))))</f>
        <v/>
      </c>
      <c r="AO202" s="21">
        <f>IF(AD202=1,COUNTIFS($AE$2:$AE$301,"&lt;"&amp;AE202,$AD$2:$AD$301,1)+COUNTIF($AE$2:AE202,AE202),"")</f>
        <v/>
      </c>
    </row>
    <row r="203">
      <c r="Y203" s="19" t="n"/>
      <c r="Z203" s="22" t="n"/>
      <c r="AA203" s="22" t="n"/>
      <c r="AB203" s="22" t="n"/>
      <c r="AC203" s="19" t="n"/>
      <c r="AD203" s="21">
        <f>IF(AE203="",0,1)</f>
        <v/>
      </c>
      <c r="AE203" s="21">
        <f>IFERROR(TRIM(INDEX($A203:$X203,MATCH(Lists!$F$2,$A$1:$X$1,0))&amp;""),"")</f>
        <v/>
      </c>
      <c r="AF203" s="21">
        <f>IF(AE203="","",IFERROR(TRIM(INDEX($A203:$X203,MATCH(Lists!$F$3,$A$1:$X$1,0))&amp;""),""))</f>
        <v/>
      </c>
      <c r="AG203" s="21">
        <f>IF(AE203="","",IFERROR(TRIM(INDEX($A203:$X203,MATCH(Lists!$F$4,$A$1:$X$1,0))&amp;""),""))</f>
        <v/>
      </c>
      <c r="AH203" s="21">
        <f>IF(AE203="","",LOWER(IFERROR(TRIM(INDEX($A203:$X203,MATCH(Lists!$F$5,$A$1:$X$1,0))&amp;""),"")))</f>
        <v/>
      </c>
      <c r="AI203" s="21">
        <f>IF(AE203="","",IFERROR(TRIM(INDEX($A203:$X203,MATCH(Lists!$F$6,$A$1:$X$1,0))&amp;""),""))</f>
        <v/>
      </c>
      <c r="AJ203" s="21">
        <f>IF(AE203="","",IF(LEFT(IFERROR(TRIM(INDEX($A203:$X203,MATCH(Lists!$F$7,$A$1:$X$1,0))&amp;""),""),3)="Yes","Yes","No"))</f>
        <v/>
      </c>
      <c r="AK203" s="21">
        <f>IF(AE203="","",IFERROR(TRIM(INDEX($A203:$X203,MATCH(Lists!$F$8,$A$1:$X$1,0))&amp;""),""))</f>
        <v/>
      </c>
      <c r="AL203" s="21">
        <f>IF(AE203="","",IFERROR(IF(TRIM(INDEX($A203:$X203,MATCH(Lists!$F$9,$A$1:$X$1,0))&amp;"")="","",VALUE(TRIM(INDEX($A203:$X203,MATCH(Lists!$F$9,$A$1:$X$1,0))&amp;""))),""))</f>
        <v/>
      </c>
      <c r="AM203" s="21">
        <f>IF(AE203="","",IFERROR(TRIM(INDEX($A203:$X203,MATCH(Lists!$F$10,$A$1:$X$1,0))&amp;""),""))</f>
        <v/>
      </c>
      <c r="AN203" s="21">
        <f>IF(AE203="","",IF(OR(AM203="Paid",AM203="Partially refunded"),"Paid",IF(Z203="Yes","Paid (by hand)",IF(AM203&lt;&gt;"",AM203,"Unpaid"))))</f>
        <v/>
      </c>
      <c r="AO203" s="21">
        <f>IF(AD203=1,COUNTIFS($AE$2:$AE$301,"&lt;"&amp;AE203,$AD$2:$AD$301,1)+COUNTIF($AE$2:AE203,AE203),"")</f>
        <v/>
      </c>
    </row>
    <row r="204">
      <c r="Y204" s="19" t="n"/>
      <c r="Z204" s="22" t="n"/>
      <c r="AA204" s="22" t="n"/>
      <c r="AB204" s="22" t="n"/>
      <c r="AC204" s="19" t="n"/>
      <c r="AD204" s="21">
        <f>IF(AE204="",0,1)</f>
        <v/>
      </c>
      <c r="AE204" s="21">
        <f>IFERROR(TRIM(INDEX($A204:$X204,MATCH(Lists!$F$2,$A$1:$X$1,0))&amp;""),"")</f>
        <v/>
      </c>
      <c r="AF204" s="21">
        <f>IF(AE204="","",IFERROR(TRIM(INDEX($A204:$X204,MATCH(Lists!$F$3,$A$1:$X$1,0))&amp;""),""))</f>
        <v/>
      </c>
      <c r="AG204" s="21">
        <f>IF(AE204="","",IFERROR(TRIM(INDEX($A204:$X204,MATCH(Lists!$F$4,$A$1:$X$1,0))&amp;""),""))</f>
        <v/>
      </c>
      <c r="AH204" s="21">
        <f>IF(AE204="","",LOWER(IFERROR(TRIM(INDEX($A204:$X204,MATCH(Lists!$F$5,$A$1:$X$1,0))&amp;""),"")))</f>
        <v/>
      </c>
      <c r="AI204" s="21">
        <f>IF(AE204="","",IFERROR(TRIM(INDEX($A204:$X204,MATCH(Lists!$F$6,$A$1:$X$1,0))&amp;""),""))</f>
        <v/>
      </c>
      <c r="AJ204" s="21">
        <f>IF(AE204="","",IF(LEFT(IFERROR(TRIM(INDEX($A204:$X204,MATCH(Lists!$F$7,$A$1:$X$1,0))&amp;""),""),3)="Yes","Yes","No"))</f>
        <v/>
      </c>
      <c r="AK204" s="21">
        <f>IF(AE204="","",IFERROR(TRIM(INDEX($A204:$X204,MATCH(Lists!$F$8,$A$1:$X$1,0))&amp;""),""))</f>
        <v/>
      </c>
      <c r="AL204" s="21">
        <f>IF(AE204="","",IFERROR(IF(TRIM(INDEX($A204:$X204,MATCH(Lists!$F$9,$A$1:$X$1,0))&amp;"")="","",VALUE(TRIM(INDEX($A204:$X204,MATCH(Lists!$F$9,$A$1:$X$1,0))&amp;""))),""))</f>
        <v/>
      </c>
      <c r="AM204" s="21">
        <f>IF(AE204="","",IFERROR(TRIM(INDEX($A204:$X204,MATCH(Lists!$F$10,$A$1:$X$1,0))&amp;""),""))</f>
        <v/>
      </c>
      <c r="AN204" s="21">
        <f>IF(AE204="","",IF(OR(AM204="Paid",AM204="Partially refunded"),"Paid",IF(Z204="Yes","Paid (by hand)",IF(AM204&lt;&gt;"",AM204,"Unpaid"))))</f>
        <v/>
      </c>
      <c r="AO204" s="21">
        <f>IF(AD204=1,COUNTIFS($AE$2:$AE$301,"&lt;"&amp;AE204,$AD$2:$AD$301,1)+COUNTIF($AE$2:AE204,AE204),"")</f>
        <v/>
      </c>
    </row>
    <row r="205">
      <c r="Y205" s="19" t="n"/>
      <c r="Z205" s="22" t="n"/>
      <c r="AA205" s="22" t="n"/>
      <c r="AB205" s="22" t="n"/>
      <c r="AC205" s="19" t="n"/>
      <c r="AD205" s="21">
        <f>IF(AE205="",0,1)</f>
        <v/>
      </c>
      <c r="AE205" s="21">
        <f>IFERROR(TRIM(INDEX($A205:$X205,MATCH(Lists!$F$2,$A$1:$X$1,0))&amp;""),"")</f>
        <v/>
      </c>
      <c r="AF205" s="21">
        <f>IF(AE205="","",IFERROR(TRIM(INDEX($A205:$X205,MATCH(Lists!$F$3,$A$1:$X$1,0))&amp;""),""))</f>
        <v/>
      </c>
      <c r="AG205" s="21">
        <f>IF(AE205="","",IFERROR(TRIM(INDEX($A205:$X205,MATCH(Lists!$F$4,$A$1:$X$1,0))&amp;""),""))</f>
        <v/>
      </c>
      <c r="AH205" s="21">
        <f>IF(AE205="","",LOWER(IFERROR(TRIM(INDEX($A205:$X205,MATCH(Lists!$F$5,$A$1:$X$1,0))&amp;""),"")))</f>
        <v/>
      </c>
      <c r="AI205" s="21">
        <f>IF(AE205="","",IFERROR(TRIM(INDEX($A205:$X205,MATCH(Lists!$F$6,$A$1:$X$1,0))&amp;""),""))</f>
        <v/>
      </c>
      <c r="AJ205" s="21">
        <f>IF(AE205="","",IF(LEFT(IFERROR(TRIM(INDEX($A205:$X205,MATCH(Lists!$F$7,$A$1:$X$1,0))&amp;""),""),3)="Yes","Yes","No"))</f>
        <v/>
      </c>
      <c r="AK205" s="21">
        <f>IF(AE205="","",IFERROR(TRIM(INDEX($A205:$X205,MATCH(Lists!$F$8,$A$1:$X$1,0))&amp;""),""))</f>
        <v/>
      </c>
      <c r="AL205" s="21">
        <f>IF(AE205="","",IFERROR(IF(TRIM(INDEX($A205:$X205,MATCH(Lists!$F$9,$A$1:$X$1,0))&amp;"")="","",VALUE(TRIM(INDEX($A205:$X205,MATCH(Lists!$F$9,$A$1:$X$1,0))&amp;""))),""))</f>
        <v/>
      </c>
      <c r="AM205" s="21">
        <f>IF(AE205="","",IFERROR(TRIM(INDEX($A205:$X205,MATCH(Lists!$F$10,$A$1:$X$1,0))&amp;""),""))</f>
        <v/>
      </c>
      <c r="AN205" s="21">
        <f>IF(AE205="","",IF(OR(AM205="Paid",AM205="Partially refunded"),"Paid",IF(Z205="Yes","Paid (by hand)",IF(AM205&lt;&gt;"",AM205,"Unpaid"))))</f>
        <v/>
      </c>
      <c r="AO205" s="21">
        <f>IF(AD205=1,COUNTIFS($AE$2:$AE$301,"&lt;"&amp;AE205,$AD$2:$AD$301,1)+COUNTIF($AE$2:AE205,AE205),"")</f>
        <v/>
      </c>
    </row>
    <row r="206">
      <c r="Y206" s="19" t="n"/>
      <c r="Z206" s="22" t="n"/>
      <c r="AA206" s="22" t="n"/>
      <c r="AB206" s="22" t="n"/>
      <c r="AC206" s="19" t="n"/>
      <c r="AD206" s="21">
        <f>IF(AE206="",0,1)</f>
        <v/>
      </c>
      <c r="AE206" s="21">
        <f>IFERROR(TRIM(INDEX($A206:$X206,MATCH(Lists!$F$2,$A$1:$X$1,0))&amp;""),"")</f>
        <v/>
      </c>
      <c r="AF206" s="21">
        <f>IF(AE206="","",IFERROR(TRIM(INDEX($A206:$X206,MATCH(Lists!$F$3,$A$1:$X$1,0))&amp;""),""))</f>
        <v/>
      </c>
      <c r="AG206" s="21">
        <f>IF(AE206="","",IFERROR(TRIM(INDEX($A206:$X206,MATCH(Lists!$F$4,$A$1:$X$1,0))&amp;""),""))</f>
        <v/>
      </c>
      <c r="AH206" s="21">
        <f>IF(AE206="","",LOWER(IFERROR(TRIM(INDEX($A206:$X206,MATCH(Lists!$F$5,$A$1:$X$1,0))&amp;""),"")))</f>
        <v/>
      </c>
      <c r="AI206" s="21">
        <f>IF(AE206="","",IFERROR(TRIM(INDEX($A206:$X206,MATCH(Lists!$F$6,$A$1:$X$1,0))&amp;""),""))</f>
        <v/>
      </c>
      <c r="AJ206" s="21">
        <f>IF(AE206="","",IF(LEFT(IFERROR(TRIM(INDEX($A206:$X206,MATCH(Lists!$F$7,$A$1:$X$1,0))&amp;""),""),3)="Yes","Yes","No"))</f>
        <v/>
      </c>
      <c r="AK206" s="21">
        <f>IF(AE206="","",IFERROR(TRIM(INDEX($A206:$X206,MATCH(Lists!$F$8,$A$1:$X$1,0))&amp;""),""))</f>
        <v/>
      </c>
      <c r="AL206" s="21">
        <f>IF(AE206="","",IFERROR(IF(TRIM(INDEX($A206:$X206,MATCH(Lists!$F$9,$A$1:$X$1,0))&amp;"")="","",VALUE(TRIM(INDEX($A206:$X206,MATCH(Lists!$F$9,$A$1:$X$1,0))&amp;""))),""))</f>
        <v/>
      </c>
      <c r="AM206" s="21">
        <f>IF(AE206="","",IFERROR(TRIM(INDEX($A206:$X206,MATCH(Lists!$F$10,$A$1:$X$1,0))&amp;""),""))</f>
        <v/>
      </c>
      <c r="AN206" s="21">
        <f>IF(AE206="","",IF(OR(AM206="Paid",AM206="Partially refunded"),"Paid",IF(Z206="Yes","Paid (by hand)",IF(AM206&lt;&gt;"",AM206,"Unpaid"))))</f>
        <v/>
      </c>
      <c r="AO206" s="21">
        <f>IF(AD206=1,COUNTIFS($AE$2:$AE$301,"&lt;"&amp;AE206,$AD$2:$AD$301,1)+COUNTIF($AE$2:AE206,AE206),"")</f>
        <v/>
      </c>
    </row>
    <row r="207">
      <c r="Y207" s="19" t="n"/>
      <c r="Z207" s="22" t="n"/>
      <c r="AA207" s="22" t="n"/>
      <c r="AB207" s="22" t="n"/>
      <c r="AC207" s="19" t="n"/>
      <c r="AD207" s="21">
        <f>IF(AE207="",0,1)</f>
        <v/>
      </c>
      <c r="AE207" s="21">
        <f>IFERROR(TRIM(INDEX($A207:$X207,MATCH(Lists!$F$2,$A$1:$X$1,0))&amp;""),"")</f>
        <v/>
      </c>
      <c r="AF207" s="21">
        <f>IF(AE207="","",IFERROR(TRIM(INDEX($A207:$X207,MATCH(Lists!$F$3,$A$1:$X$1,0))&amp;""),""))</f>
        <v/>
      </c>
      <c r="AG207" s="21">
        <f>IF(AE207="","",IFERROR(TRIM(INDEX($A207:$X207,MATCH(Lists!$F$4,$A$1:$X$1,0))&amp;""),""))</f>
        <v/>
      </c>
      <c r="AH207" s="21">
        <f>IF(AE207="","",LOWER(IFERROR(TRIM(INDEX($A207:$X207,MATCH(Lists!$F$5,$A$1:$X$1,0))&amp;""),"")))</f>
        <v/>
      </c>
      <c r="AI207" s="21">
        <f>IF(AE207="","",IFERROR(TRIM(INDEX($A207:$X207,MATCH(Lists!$F$6,$A$1:$X$1,0))&amp;""),""))</f>
        <v/>
      </c>
      <c r="AJ207" s="21">
        <f>IF(AE207="","",IF(LEFT(IFERROR(TRIM(INDEX($A207:$X207,MATCH(Lists!$F$7,$A$1:$X$1,0))&amp;""),""),3)="Yes","Yes","No"))</f>
        <v/>
      </c>
      <c r="AK207" s="21">
        <f>IF(AE207="","",IFERROR(TRIM(INDEX($A207:$X207,MATCH(Lists!$F$8,$A$1:$X$1,0))&amp;""),""))</f>
        <v/>
      </c>
      <c r="AL207" s="21">
        <f>IF(AE207="","",IFERROR(IF(TRIM(INDEX($A207:$X207,MATCH(Lists!$F$9,$A$1:$X$1,0))&amp;"")="","",VALUE(TRIM(INDEX($A207:$X207,MATCH(Lists!$F$9,$A$1:$X$1,0))&amp;""))),""))</f>
        <v/>
      </c>
      <c r="AM207" s="21">
        <f>IF(AE207="","",IFERROR(TRIM(INDEX($A207:$X207,MATCH(Lists!$F$10,$A$1:$X$1,0))&amp;""),""))</f>
        <v/>
      </c>
      <c r="AN207" s="21">
        <f>IF(AE207="","",IF(OR(AM207="Paid",AM207="Partially refunded"),"Paid",IF(Z207="Yes","Paid (by hand)",IF(AM207&lt;&gt;"",AM207,"Unpaid"))))</f>
        <v/>
      </c>
      <c r="AO207" s="21">
        <f>IF(AD207=1,COUNTIFS($AE$2:$AE$301,"&lt;"&amp;AE207,$AD$2:$AD$301,1)+COUNTIF($AE$2:AE207,AE207),"")</f>
        <v/>
      </c>
    </row>
    <row r="208">
      <c r="Y208" s="19" t="n"/>
      <c r="Z208" s="22" t="n"/>
      <c r="AA208" s="22" t="n"/>
      <c r="AB208" s="22" t="n"/>
      <c r="AC208" s="19" t="n"/>
      <c r="AD208" s="21">
        <f>IF(AE208="",0,1)</f>
        <v/>
      </c>
      <c r="AE208" s="21">
        <f>IFERROR(TRIM(INDEX($A208:$X208,MATCH(Lists!$F$2,$A$1:$X$1,0))&amp;""),"")</f>
        <v/>
      </c>
      <c r="AF208" s="21">
        <f>IF(AE208="","",IFERROR(TRIM(INDEX($A208:$X208,MATCH(Lists!$F$3,$A$1:$X$1,0))&amp;""),""))</f>
        <v/>
      </c>
      <c r="AG208" s="21">
        <f>IF(AE208="","",IFERROR(TRIM(INDEX($A208:$X208,MATCH(Lists!$F$4,$A$1:$X$1,0))&amp;""),""))</f>
        <v/>
      </c>
      <c r="AH208" s="21">
        <f>IF(AE208="","",LOWER(IFERROR(TRIM(INDEX($A208:$X208,MATCH(Lists!$F$5,$A$1:$X$1,0))&amp;""),"")))</f>
        <v/>
      </c>
      <c r="AI208" s="21">
        <f>IF(AE208="","",IFERROR(TRIM(INDEX($A208:$X208,MATCH(Lists!$F$6,$A$1:$X$1,0))&amp;""),""))</f>
        <v/>
      </c>
      <c r="AJ208" s="21">
        <f>IF(AE208="","",IF(LEFT(IFERROR(TRIM(INDEX($A208:$X208,MATCH(Lists!$F$7,$A$1:$X$1,0))&amp;""),""),3)="Yes","Yes","No"))</f>
        <v/>
      </c>
      <c r="AK208" s="21">
        <f>IF(AE208="","",IFERROR(TRIM(INDEX($A208:$X208,MATCH(Lists!$F$8,$A$1:$X$1,0))&amp;""),""))</f>
        <v/>
      </c>
      <c r="AL208" s="21">
        <f>IF(AE208="","",IFERROR(IF(TRIM(INDEX($A208:$X208,MATCH(Lists!$F$9,$A$1:$X$1,0))&amp;"")="","",VALUE(TRIM(INDEX($A208:$X208,MATCH(Lists!$F$9,$A$1:$X$1,0))&amp;""))),""))</f>
        <v/>
      </c>
      <c r="AM208" s="21">
        <f>IF(AE208="","",IFERROR(TRIM(INDEX($A208:$X208,MATCH(Lists!$F$10,$A$1:$X$1,0))&amp;""),""))</f>
        <v/>
      </c>
      <c r="AN208" s="21">
        <f>IF(AE208="","",IF(OR(AM208="Paid",AM208="Partially refunded"),"Paid",IF(Z208="Yes","Paid (by hand)",IF(AM208&lt;&gt;"",AM208,"Unpaid"))))</f>
        <v/>
      </c>
      <c r="AO208" s="21">
        <f>IF(AD208=1,COUNTIFS($AE$2:$AE$301,"&lt;"&amp;AE208,$AD$2:$AD$301,1)+COUNTIF($AE$2:AE208,AE208),"")</f>
        <v/>
      </c>
    </row>
    <row r="209">
      <c r="Y209" s="19" t="n"/>
      <c r="Z209" s="22" t="n"/>
      <c r="AA209" s="22" t="n"/>
      <c r="AB209" s="22" t="n"/>
      <c r="AC209" s="19" t="n"/>
      <c r="AD209" s="21">
        <f>IF(AE209="",0,1)</f>
        <v/>
      </c>
      <c r="AE209" s="21">
        <f>IFERROR(TRIM(INDEX($A209:$X209,MATCH(Lists!$F$2,$A$1:$X$1,0))&amp;""),"")</f>
        <v/>
      </c>
      <c r="AF209" s="21">
        <f>IF(AE209="","",IFERROR(TRIM(INDEX($A209:$X209,MATCH(Lists!$F$3,$A$1:$X$1,0))&amp;""),""))</f>
        <v/>
      </c>
      <c r="AG209" s="21">
        <f>IF(AE209="","",IFERROR(TRIM(INDEX($A209:$X209,MATCH(Lists!$F$4,$A$1:$X$1,0))&amp;""),""))</f>
        <v/>
      </c>
      <c r="AH209" s="21">
        <f>IF(AE209="","",LOWER(IFERROR(TRIM(INDEX($A209:$X209,MATCH(Lists!$F$5,$A$1:$X$1,0))&amp;""),"")))</f>
        <v/>
      </c>
      <c r="AI209" s="21">
        <f>IF(AE209="","",IFERROR(TRIM(INDEX($A209:$X209,MATCH(Lists!$F$6,$A$1:$X$1,0))&amp;""),""))</f>
        <v/>
      </c>
      <c r="AJ209" s="21">
        <f>IF(AE209="","",IF(LEFT(IFERROR(TRIM(INDEX($A209:$X209,MATCH(Lists!$F$7,$A$1:$X$1,0))&amp;""),""),3)="Yes","Yes","No"))</f>
        <v/>
      </c>
      <c r="AK209" s="21">
        <f>IF(AE209="","",IFERROR(TRIM(INDEX($A209:$X209,MATCH(Lists!$F$8,$A$1:$X$1,0))&amp;""),""))</f>
        <v/>
      </c>
      <c r="AL209" s="21">
        <f>IF(AE209="","",IFERROR(IF(TRIM(INDEX($A209:$X209,MATCH(Lists!$F$9,$A$1:$X$1,0))&amp;"")="","",VALUE(TRIM(INDEX($A209:$X209,MATCH(Lists!$F$9,$A$1:$X$1,0))&amp;""))),""))</f>
        <v/>
      </c>
      <c r="AM209" s="21">
        <f>IF(AE209="","",IFERROR(TRIM(INDEX($A209:$X209,MATCH(Lists!$F$10,$A$1:$X$1,0))&amp;""),""))</f>
        <v/>
      </c>
      <c r="AN209" s="21">
        <f>IF(AE209="","",IF(OR(AM209="Paid",AM209="Partially refunded"),"Paid",IF(Z209="Yes","Paid (by hand)",IF(AM209&lt;&gt;"",AM209,"Unpaid"))))</f>
        <v/>
      </c>
      <c r="AO209" s="21">
        <f>IF(AD209=1,COUNTIFS($AE$2:$AE$301,"&lt;"&amp;AE209,$AD$2:$AD$301,1)+COUNTIF($AE$2:AE209,AE209),"")</f>
        <v/>
      </c>
    </row>
    <row r="210">
      <c r="Y210" s="19" t="n"/>
      <c r="Z210" s="22" t="n"/>
      <c r="AA210" s="22" t="n"/>
      <c r="AB210" s="22" t="n"/>
      <c r="AC210" s="19" t="n"/>
      <c r="AD210" s="21">
        <f>IF(AE210="",0,1)</f>
        <v/>
      </c>
      <c r="AE210" s="21">
        <f>IFERROR(TRIM(INDEX($A210:$X210,MATCH(Lists!$F$2,$A$1:$X$1,0))&amp;""),"")</f>
        <v/>
      </c>
      <c r="AF210" s="21">
        <f>IF(AE210="","",IFERROR(TRIM(INDEX($A210:$X210,MATCH(Lists!$F$3,$A$1:$X$1,0))&amp;""),""))</f>
        <v/>
      </c>
      <c r="AG210" s="21">
        <f>IF(AE210="","",IFERROR(TRIM(INDEX($A210:$X210,MATCH(Lists!$F$4,$A$1:$X$1,0))&amp;""),""))</f>
        <v/>
      </c>
      <c r="AH210" s="21">
        <f>IF(AE210="","",LOWER(IFERROR(TRIM(INDEX($A210:$X210,MATCH(Lists!$F$5,$A$1:$X$1,0))&amp;""),"")))</f>
        <v/>
      </c>
      <c r="AI210" s="21">
        <f>IF(AE210="","",IFERROR(TRIM(INDEX($A210:$X210,MATCH(Lists!$F$6,$A$1:$X$1,0))&amp;""),""))</f>
        <v/>
      </c>
      <c r="AJ210" s="21">
        <f>IF(AE210="","",IF(LEFT(IFERROR(TRIM(INDEX($A210:$X210,MATCH(Lists!$F$7,$A$1:$X$1,0))&amp;""),""),3)="Yes","Yes","No"))</f>
        <v/>
      </c>
      <c r="AK210" s="21">
        <f>IF(AE210="","",IFERROR(TRIM(INDEX($A210:$X210,MATCH(Lists!$F$8,$A$1:$X$1,0))&amp;""),""))</f>
        <v/>
      </c>
      <c r="AL210" s="21">
        <f>IF(AE210="","",IFERROR(IF(TRIM(INDEX($A210:$X210,MATCH(Lists!$F$9,$A$1:$X$1,0))&amp;"")="","",VALUE(TRIM(INDEX($A210:$X210,MATCH(Lists!$F$9,$A$1:$X$1,0))&amp;""))),""))</f>
        <v/>
      </c>
      <c r="AM210" s="21">
        <f>IF(AE210="","",IFERROR(TRIM(INDEX($A210:$X210,MATCH(Lists!$F$10,$A$1:$X$1,0))&amp;""),""))</f>
        <v/>
      </c>
      <c r="AN210" s="21">
        <f>IF(AE210="","",IF(OR(AM210="Paid",AM210="Partially refunded"),"Paid",IF(Z210="Yes","Paid (by hand)",IF(AM210&lt;&gt;"",AM210,"Unpaid"))))</f>
        <v/>
      </c>
      <c r="AO210" s="21">
        <f>IF(AD210=1,COUNTIFS($AE$2:$AE$301,"&lt;"&amp;AE210,$AD$2:$AD$301,1)+COUNTIF($AE$2:AE210,AE210),"")</f>
        <v/>
      </c>
    </row>
    <row r="211">
      <c r="Y211" s="19" t="n"/>
      <c r="Z211" s="22" t="n"/>
      <c r="AA211" s="22" t="n"/>
      <c r="AB211" s="22" t="n"/>
      <c r="AC211" s="19" t="n"/>
      <c r="AD211" s="21">
        <f>IF(AE211="",0,1)</f>
        <v/>
      </c>
      <c r="AE211" s="21">
        <f>IFERROR(TRIM(INDEX($A211:$X211,MATCH(Lists!$F$2,$A$1:$X$1,0))&amp;""),"")</f>
        <v/>
      </c>
      <c r="AF211" s="21">
        <f>IF(AE211="","",IFERROR(TRIM(INDEX($A211:$X211,MATCH(Lists!$F$3,$A$1:$X$1,0))&amp;""),""))</f>
        <v/>
      </c>
      <c r="AG211" s="21">
        <f>IF(AE211="","",IFERROR(TRIM(INDEX($A211:$X211,MATCH(Lists!$F$4,$A$1:$X$1,0))&amp;""),""))</f>
        <v/>
      </c>
      <c r="AH211" s="21">
        <f>IF(AE211="","",LOWER(IFERROR(TRIM(INDEX($A211:$X211,MATCH(Lists!$F$5,$A$1:$X$1,0))&amp;""),"")))</f>
        <v/>
      </c>
      <c r="AI211" s="21">
        <f>IF(AE211="","",IFERROR(TRIM(INDEX($A211:$X211,MATCH(Lists!$F$6,$A$1:$X$1,0))&amp;""),""))</f>
        <v/>
      </c>
      <c r="AJ211" s="21">
        <f>IF(AE211="","",IF(LEFT(IFERROR(TRIM(INDEX($A211:$X211,MATCH(Lists!$F$7,$A$1:$X$1,0))&amp;""),""),3)="Yes","Yes","No"))</f>
        <v/>
      </c>
      <c r="AK211" s="21">
        <f>IF(AE211="","",IFERROR(TRIM(INDEX($A211:$X211,MATCH(Lists!$F$8,$A$1:$X$1,0))&amp;""),""))</f>
        <v/>
      </c>
      <c r="AL211" s="21">
        <f>IF(AE211="","",IFERROR(IF(TRIM(INDEX($A211:$X211,MATCH(Lists!$F$9,$A$1:$X$1,0))&amp;"")="","",VALUE(TRIM(INDEX($A211:$X211,MATCH(Lists!$F$9,$A$1:$X$1,0))&amp;""))),""))</f>
        <v/>
      </c>
      <c r="AM211" s="21">
        <f>IF(AE211="","",IFERROR(TRIM(INDEX($A211:$X211,MATCH(Lists!$F$10,$A$1:$X$1,0))&amp;""),""))</f>
        <v/>
      </c>
      <c r="AN211" s="21">
        <f>IF(AE211="","",IF(OR(AM211="Paid",AM211="Partially refunded"),"Paid",IF(Z211="Yes","Paid (by hand)",IF(AM211&lt;&gt;"",AM211,"Unpaid"))))</f>
        <v/>
      </c>
      <c r="AO211" s="21">
        <f>IF(AD211=1,COUNTIFS($AE$2:$AE$301,"&lt;"&amp;AE211,$AD$2:$AD$301,1)+COUNTIF($AE$2:AE211,AE211),"")</f>
        <v/>
      </c>
    </row>
    <row r="212">
      <c r="Y212" s="19" t="n"/>
      <c r="Z212" s="22" t="n"/>
      <c r="AA212" s="22" t="n"/>
      <c r="AB212" s="22" t="n"/>
      <c r="AC212" s="19" t="n"/>
      <c r="AD212" s="21">
        <f>IF(AE212="",0,1)</f>
        <v/>
      </c>
      <c r="AE212" s="21">
        <f>IFERROR(TRIM(INDEX($A212:$X212,MATCH(Lists!$F$2,$A$1:$X$1,0))&amp;""),"")</f>
        <v/>
      </c>
      <c r="AF212" s="21">
        <f>IF(AE212="","",IFERROR(TRIM(INDEX($A212:$X212,MATCH(Lists!$F$3,$A$1:$X$1,0))&amp;""),""))</f>
        <v/>
      </c>
      <c r="AG212" s="21">
        <f>IF(AE212="","",IFERROR(TRIM(INDEX($A212:$X212,MATCH(Lists!$F$4,$A$1:$X$1,0))&amp;""),""))</f>
        <v/>
      </c>
      <c r="AH212" s="21">
        <f>IF(AE212="","",LOWER(IFERROR(TRIM(INDEX($A212:$X212,MATCH(Lists!$F$5,$A$1:$X$1,0))&amp;""),"")))</f>
        <v/>
      </c>
      <c r="AI212" s="21">
        <f>IF(AE212="","",IFERROR(TRIM(INDEX($A212:$X212,MATCH(Lists!$F$6,$A$1:$X$1,0))&amp;""),""))</f>
        <v/>
      </c>
      <c r="AJ212" s="21">
        <f>IF(AE212="","",IF(LEFT(IFERROR(TRIM(INDEX($A212:$X212,MATCH(Lists!$F$7,$A$1:$X$1,0))&amp;""),""),3)="Yes","Yes","No"))</f>
        <v/>
      </c>
      <c r="AK212" s="21">
        <f>IF(AE212="","",IFERROR(TRIM(INDEX($A212:$X212,MATCH(Lists!$F$8,$A$1:$X$1,0))&amp;""),""))</f>
        <v/>
      </c>
      <c r="AL212" s="21">
        <f>IF(AE212="","",IFERROR(IF(TRIM(INDEX($A212:$X212,MATCH(Lists!$F$9,$A$1:$X$1,0))&amp;"")="","",VALUE(TRIM(INDEX($A212:$X212,MATCH(Lists!$F$9,$A$1:$X$1,0))&amp;""))),""))</f>
        <v/>
      </c>
      <c r="AM212" s="21">
        <f>IF(AE212="","",IFERROR(TRIM(INDEX($A212:$X212,MATCH(Lists!$F$10,$A$1:$X$1,0))&amp;""),""))</f>
        <v/>
      </c>
      <c r="AN212" s="21">
        <f>IF(AE212="","",IF(OR(AM212="Paid",AM212="Partially refunded"),"Paid",IF(Z212="Yes","Paid (by hand)",IF(AM212&lt;&gt;"",AM212,"Unpaid"))))</f>
        <v/>
      </c>
      <c r="AO212" s="21">
        <f>IF(AD212=1,COUNTIFS($AE$2:$AE$301,"&lt;"&amp;AE212,$AD$2:$AD$301,1)+COUNTIF($AE$2:AE212,AE212),"")</f>
        <v/>
      </c>
    </row>
    <row r="213">
      <c r="Y213" s="19" t="n"/>
      <c r="Z213" s="22" t="n"/>
      <c r="AA213" s="22" t="n"/>
      <c r="AB213" s="22" t="n"/>
      <c r="AC213" s="19" t="n"/>
      <c r="AD213" s="21">
        <f>IF(AE213="",0,1)</f>
        <v/>
      </c>
      <c r="AE213" s="21">
        <f>IFERROR(TRIM(INDEX($A213:$X213,MATCH(Lists!$F$2,$A$1:$X$1,0))&amp;""),"")</f>
        <v/>
      </c>
      <c r="AF213" s="21">
        <f>IF(AE213="","",IFERROR(TRIM(INDEX($A213:$X213,MATCH(Lists!$F$3,$A$1:$X$1,0))&amp;""),""))</f>
        <v/>
      </c>
      <c r="AG213" s="21">
        <f>IF(AE213="","",IFERROR(TRIM(INDEX($A213:$X213,MATCH(Lists!$F$4,$A$1:$X$1,0))&amp;""),""))</f>
        <v/>
      </c>
      <c r="AH213" s="21">
        <f>IF(AE213="","",LOWER(IFERROR(TRIM(INDEX($A213:$X213,MATCH(Lists!$F$5,$A$1:$X$1,0))&amp;""),"")))</f>
        <v/>
      </c>
      <c r="AI213" s="21">
        <f>IF(AE213="","",IFERROR(TRIM(INDEX($A213:$X213,MATCH(Lists!$F$6,$A$1:$X$1,0))&amp;""),""))</f>
        <v/>
      </c>
      <c r="AJ213" s="21">
        <f>IF(AE213="","",IF(LEFT(IFERROR(TRIM(INDEX($A213:$X213,MATCH(Lists!$F$7,$A$1:$X$1,0))&amp;""),""),3)="Yes","Yes","No"))</f>
        <v/>
      </c>
      <c r="AK213" s="21">
        <f>IF(AE213="","",IFERROR(TRIM(INDEX($A213:$X213,MATCH(Lists!$F$8,$A$1:$X$1,0))&amp;""),""))</f>
        <v/>
      </c>
      <c r="AL213" s="21">
        <f>IF(AE213="","",IFERROR(IF(TRIM(INDEX($A213:$X213,MATCH(Lists!$F$9,$A$1:$X$1,0))&amp;"")="","",VALUE(TRIM(INDEX($A213:$X213,MATCH(Lists!$F$9,$A$1:$X$1,0))&amp;""))),""))</f>
        <v/>
      </c>
      <c r="AM213" s="21">
        <f>IF(AE213="","",IFERROR(TRIM(INDEX($A213:$X213,MATCH(Lists!$F$10,$A$1:$X$1,0))&amp;""),""))</f>
        <v/>
      </c>
      <c r="AN213" s="21">
        <f>IF(AE213="","",IF(OR(AM213="Paid",AM213="Partially refunded"),"Paid",IF(Z213="Yes","Paid (by hand)",IF(AM213&lt;&gt;"",AM213,"Unpaid"))))</f>
        <v/>
      </c>
      <c r="AO213" s="21">
        <f>IF(AD213=1,COUNTIFS($AE$2:$AE$301,"&lt;"&amp;AE213,$AD$2:$AD$301,1)+COUNTIF($AE$2:AE213,AE213),"")</f>
        <v/>
      </c>
    </row>
    <row r="214">
      <c r="Y214" s="19" t="n"/>
      <c r="Z214" s="22" t="n"/>
      <c r="AA214" s="22" t="n"/>
      <c r="AB214" s="22" t="n"/>
      <c r="AC214" s="19" t="n"/>
      <c r="AD214" s="21">
        <f>IF(AE214="",0,1)</f>
        <v/>
      </c>
      <c r="AE214" s="21">
        <f>IFERROR(TRIM(INDEX($A214:$X214,MATCH(Lists!$F$2,$A$1:$X$1,0))&amp;""),"")</f>
        <v/>
      </c>
      <c r="AF214" s="21">
        <f>IF(AE214="","",IFERROR(TRIM(INDEX($A214:$X214,MATCH(Lists!$F$3,$A$1:$X$1,0))&amp;""),""))</f>
        <v/>
      </c>
      <c r="AG214" s="21">
        <f>IF(AE214="","",IFERROR(TRIM(INDEX($A214:$X214,MATCH(Lists!$F$4,$A$1:$X$1,0))&amp;""),""))</f>
        <v/>
      </c>
      <c r="AH214" s="21">
        <f>IF(AE214="","",LOWER(IFERROR(TRIM(INDEX($A214:$X214,MATCH(Lists!$F$5,$A$1:$X$1,0))&amp;""),"")))</f>
        <v/>
      </c>
      <c r="AI214" s="21">
        <f>IF(AE214="","",IFERROR(TRIM(INDEX($A214:$X214,MATCH(Lists!$F$6,$A$1:$X$1,0))&amp;""),""))</f>
        <v/>
      </c>
      <c r="AJ214" s="21">
        <f>IF(AE214="","",IF(LEFT(IFERROR(TRIM(INDEX($A214:$X214,MATCH(Lists!$F$7,$A$1:$X$1,0))&amp;""),""),3)="Yes","Yes","No"))</f>
        <v/>
      </c>
      <c r="AK214" s="21">
        <f>IF(AE214="","",IFERROR(TRIM(INDEX($A214:$X214,MATCH(Lists!$F$8,$A$1:$X$1,0))&amp;""),""))</f>
        <v/>
      </c>
      <c r="AL214" s="21">
        <f>IF(AE214="","",IFERROR(IF(TRIM(INDEX($A214:$X214,MATCH(Lists!$F$9,$A$1:$X$1,0))&amp;"")="","",VALUE(TRIM(INDEX($A214:$X214,MATCH(Lists!$F$9,$A$1:$X$1,0))&amp;""))),""))</f>
        <v/>
      </c>
      <c r="AM214" s="21">
        <f>IF(AE214="","",IFERROR(TRIM(INDEX($A214:$X214,MATCH(Lists!$F$10,$A$1:$X$1,0))&amp;""),""))</f>
        <v/>
      </c>
      <c r="AN214" s="21">
        <f>IF(AE214="","",IF(OR(AM214="Paid",AM214="Partially refunded"),"Paid",IF(Z214="Yes","Paid (by hand)",IF(AM214&lt;&gt;"",AM214,"Unpaid"))))</f>
        <v/>
      </c>
      <c r="AO214" s="21">
        <f>IF(AD214=1,COUNTIFS($AE$2:$AE$301,"&lt;"&amp;AE214,$AD$2:$AD$301,1)+COUNTIF($AE$2:AE214,AE214),"")</f>
        <v/>
      </c>
    </row>
    <row r="215">
      <c r="Y215" s="19" t="n"/>
      <c r="Z215" s="22" t="n"/>
      <c r="AA215" s="22" t="n"/>
      <c r="AB215" s="22" t="n"/>
      <c r="AC215" s="19" t="n"/>
      <c r="AD215" s="21">
        <f>IF(AE215="",0,1)</f>
        <v/>
      </c>
      <c r="AE215" s="21">
        <f>IFERROR(TRIM(INDEX($A215:$X215,MATCH(Lists!$F$2,$A$1:$X$1,0))&amp;""),"")</f>
        <v/>
      </c>
      <c r="AF215" s="21">
        <f>IF(AE215="","",IFERROR(TRIM(INDEX($A215:$X215,MATCH(Lists!$F$3,$A$1:$X$1,0))&amp;""),""))</f>
        <v/>
      </c>
      <c r="AG215" s="21">
        <f>IF(AE215="","",IFERROR(TRIM(INDEX($A215:$X215,MATCH(Lists!$F$4,$A$1:$X$1,0))&amp;""),""))</f>
        <v/>
      </c>
      <c r="AH215" s="21">
        <f>IF(AE215="","",LOWER(IFERROR(TRIM(INDEX($A215:$X215,MATCH(Lists!$F$5,$A$1:$X$1,0))&amp;""),"")))</f>
        <v/>
      </c>
      <c r="AI215" s="21">
        <f>IF(AE215="","",IFERROR(TRIM(INDEX($A215:$X215,MATCH(Lists!$F$6,$A$1:$X$1,0))&amp;""),""))</f>
        <v/>
      </c>
      <c r="AJ215" s="21">
        <f>IF(AE215="","",IF(LEFT(IFERROR(TRIM(INDEX($A215:$X215,MATCH(Lists!$F$7,$A$1:$X$1,0))&amp;""),""),3)="Yes","Yes","No"))</f>
        <v/>
      </c>
      <c r="AK215" s="21">
        <f>IF(AE215="","",IFERROR(TRIM(INDEX($A215:$X215,MATCH(Lists!$F$8,$A$1:$X$1,0))&amp;""),""))</f>
        <v/>
      </c>
      <c r="AL215" s="21">
        <f>IF(AE215="","",IFERROR(IF(TRIM(INDEX($A215:$X215,MATCH(Lists!$F$9,$A$1:$X$1,0))&amp;"")="","",VALUE(TRIM(INDEX($A215:$X215,MATCH(Lists!$F$9,$A$1:$X$1,0))&amp;""))),""))</f>
        <v/>
      </c>
      <c r="AM215" s="21">
        <f>IF(AE215="","",IFERROR(TRIM(INDEX($A215:$X215,MATCH(Lists!$F$10,$A$1:$X$1,0))&amp;""),""))</f>
        <v/>
      </c>
      <c r="AN215" s="21">
        <f>IF(AE215="","",IF(OR(AM215="Paid",AM215="Partially refunded"),"Paid",IF(Z215="Yes","Paid (by hand)",IF(AM215&lt;&gt;"",AM215,"Unpaid"))))</f>
        <v/>
      </c>
      <c r="AO215" s="21">
        <f>IF(AD215=1,COUNTIFS($AE$2:$AE$301,"&lt;"&amp;AE215,$AD$2:$AD$301,1)+COUNTIF($AE$2:AE215,AE215),"")</f>
        <v/>
      </c>
    </row>
    <row r="216">
      <c r="Y216" s="19" t="n"/>
      <c r="Z216" s="22" t="n"/>
      <c r="AA216" s="22" t="n"/>
      <c r="AB216" s="22" t="n"/>
      <c r="AC216" s="19" t="n"/>
      <c r="AD216" s="21">
        <f>IF(AE216="",0,1)</f>
        <v/>
      </c>
      <c r="AE216" s="21">
        <f>IFERROR(TRIM(INDEX($A216:$X216,MATCH(Lists!$F$2,$A$1:$X$1,0))&amp;""),"")</f>
        <v/>
      </c>
      <c r="AF216" s="21">
        <f>IF(AE216="","",IFERROR(TRIM(INDEX($A216:$X216,MATCH(Lists!$F$3,$A$1:$X$1,0))&amp;""),""))</f>
        <v/>
      </c>
      <c r="AG216" s="21">
        <f>IF(AE216="","",IFERROR(TRIM(INDEX($A216:$X216,MATCH(Lists!$F$4,$A$1:$X$1,0))&amp;""),""))</f>
        <v/>
      </c>
      <c r="AH216" s="21">
        <f>IF(AE216="","",LOWER(IFERROR(TRIM(INDEX($A216:$X216,MATCH(Lists!$F$5,$A$1:$X$1,0))&amp;""),"")))</f>
        <v/>
      </c>
      <c r="AI216" s="21">
        <f>IF(AE216="","",IFERROR(TRIM(INDEX($A216:$X216,MATCH(Lists!$F$6,$A$1:$X$1,0))&amp;""),""))</f>
        <v/>
      </c>
      <c r="AJ216" s="21">
        <f>IF(AE216="","",IF(LEFT(IFERROR(TRIM(INDEX($A216:$X216,MATCH(Lists!$F$7,$A$1:$X$1,0))&amp;""),""),3)="Yes","Yes","No"))</f>
        <v/>
      </c>
      <c r="AK216" s="21">
        <f>IF(AE216="","",IFERROR(TRIM(INDEX($A216:$X216,MATCH(Lists!$F$8,$A$1:$X$1,0))&amp;""),""))</f>
        <v/>
      </c>
      <c r="AL216" s="21">
        <f>IF(AE216="","",IFERROR(IF(TRIM(INDEX($A216:$X216,MATCH(Lists!$F$9,$A$1:$X$1,0))&amp;"")="","",VALUE(TRIM(INDEX($A216:$X216,MATCH(Lists!$F$9,$A$1:$X$1,0))&amp;""))),""))</f>
        <v/>
      </c>
      <c r="AM216" s="21">
        <f>IF(AE216="","",IFERROR(TRIM(INDEX($A216:$X216,MATCH(Lists!$F$10,$A$1:$X$1,0))&amp;""),""))</f>
        <v/>
      </c>
      <c r="AN216" s="21">
        <f>IF(AE216="","",IF(OR(AM216="Paid",AM216="Partially refunded"),"Paid",IF(Z216="Yes","Paid (by hand)",IF(AM216&lt;&gt;"",AM216,"Unpaid"))))</f>
        <v/>
      </c>
      <c r="AO216" s="21">
        <f>IF(AD216=1,COUNTIFS($AE$2:$AE$301,"&lt;"&amp;AE216,$AD$2:$AD$301,1)+COUNTIF($AE$2:AE216,AE216),"")</f>
        <v/>
      </c>
    </row>
    <row r="217">
      <c r="Y217" s="19" t="n"/>
      <c r="Z217" s="22" t="n"/>
      <c r="AA217" s="22" t="n"/>
      <c r="AB217" s="22" t="n"/>
      <c r="AC217" s="19" t="n"/>
      <c r="AD217" s="21">
        <f>IF(AE217="",0,1)</f>
        <v/>
      </c>
      <c r="AE217" s="21">
        <f>IFERROR(TRIM(INDEX($A217:$X217,MATCH(Lists!$F$2,$A$1:$X$1,0))&amp;""),"")</f>
        <v/>
      </c>
      <c r="AF217" s="21">
        <f>IF(AE217="","",IFERROR(TRIM(INDEX($A217:$X217,MATCH(Lists!$F$3,$A$1:$X$1,0))&amp;""),""))</f>
        <v/>
      </c>
      <c r="AG217" s="21">
        <f>IF(AE217="","",IFERROR(TRIM(INDEX($A217:$X217,MATCH(Lists!$F$4,$A$1:$X$1,0))&amp;""),""))</f>
        <v/>
      </c>
      <c r="AH217" s="21">
        <f>IF(AE217="","",LOWER(IFERROR(TRIM(INDEX($A217:$X217,MATCH(Lists!$F$5,$A$1:$X$1,0))&amp;""),"")))</f>
        <v/>
      </c>
      <c r="AI217" s="21">
        <f>IF(AE217="","",IFERROR(TRIM(INDEX($A217:$X217,MATCH(Lists!$F$6,$A$1:$X$1,0))&amp;""),""))</f>
        <v/>
      </c>
      <c r="AJ217" s="21">
        <f>IF(AE217="","",IF(LEFT(IFERROR(TRIM(INDEX($A217:$X217,MATCH(Lists!$F$7,$A$1:$X$1,0))&amp;""),""),3)="Yes","Yes","No"))</f>
        <v/>
      </c>
      <c r="AK217" s="21">
        <f>IF(AE217="","",IFERROR(TRIM(INDEX($A217:$X217,MATCH(Lists!$F$8,$A$1:$X$1,0))&amp;""),""))</f>
        <v/>
      </c>
      <c r="AL217" s="21">
        <f>IF(AE217="","",IFERROR(IF(TRIM(INDEX($A217:$X217,MATCH(Lists!$F$9,$A$1:$X$1,0))&amp;"")="","",VALUE(TRIM(INDEX($A217:$X217,MATCH(Lists!$F$9,$A$1:$X$1,0))&amp;""))),""))</f>
        <v/>
      </c>
      <c r="AM217" s="21">
        <f>IF(AE217="","",IFERROR(TRIM(INDEX($A217:$X217,MATCH(Lists!$F$10,$A$1:$X$1,0))&amp;""),""))</f>
        <v/>
      </c>
      <c r="AN217" s="21">
        <f>IF(AE217="","",IF(OR(AM217="Paid",AM217="Partially refunded"),"Paid",IF(Z217="Yes","Paid (by hand)",IF(AM217&lt;&gt;"",AM217,"Unpaid"))))</f>
        <v/>
      </c>
      <c r="AO217" s="21">
        <f>IF(AD217=1,COUNTIFS($AE$2:$AE$301,"&lt;"&amp;AE217,$AD$2:$AD$301,1)+COUNTIF($AE$2:AE217,AE217),"")</f>
        <v/>
      </c>
    </row>
    <row r="218">
      <c r="Y218" s="19" t="n"/>
      <c r="Z218" s="22" t="n"/>
      <c r="AA218" s="22" t="n"/>
      <c r="AB218" s="22" t="n"/>
      <c r="AC218" s="19" t="n"/>
      <c r="AD218" s="21">
        <f>IF(AE218="",0,1)</f>
        <v/>
      </c>
      <c r="AE218" s="21">
        <f>IFERROR(TRIM(INDEX($A218:$X218,MATCH(Lists!$F$2,$A$1:$X$1,0))&amp;""),"")</f>
        <v/>
      </c>
      <c r="AF218" s="21">
        <f>IF(AE218="","",IFERROR(TRIM(INDEX($A218:$X218,MATCH(Lists!$F$3,$A$1:$X$1,0))&amp;""),""))</f>
        <v/>
      </c>
      <c r="AG218" s="21">
        <f>IF(AE218="","",IFERROR(TRIM(INDEX($A218:$X218,MATCH(Lists!$F$4,$A$1:$X$1,0))&amp;""),""))</f>
        <v/>
      </c>
      <c r="AH218" s="21">
        <f>IF(AE218="","",LOWER(IFERROR(TRIM(INDEX($A218:$X218,MATCH(Lists!$F$5,$A$1:$X$1,0))&amp;""),"")))</f>
        <v/>
      </c>
      <c r="AI218" s="21">
        <f>IF(AE218="","",IFERROR(TRIM(INDEX($A218:$X218,MATCH(Lists!$F$6,$A$1:$X$1,0))&amp;""),""))</f>
        <v/>
      </c>
      <c r="AJ218" s="21">
        <f>IF(AE218="","",IF(LEFT(IFERROR(TRIM(INDEX($A218:$X218,MATCH(Lists!$F$7,$A$1:$X$1,0))&amp;""),""),3)="Yes","Yes","No"))</f>
        <v/>
      </c>
      <c r="AK218" s="21">
        <f>IF(AE218="","",IFERROR(TRIM(INDEX($A218:$X218,MATCH(Lists!$F$8,$A$1:$X$1,0))&amp;""),""))</f>
        <v/>
      </c>
      <c r="AL218" s="21">
        <f>IF(AE218="","",IFERROR(IF(TRIM(INDEX($A218:$X218,MATCH(Lists!$F$9,$A$1:$X$1,0))&amp;"")="","",VALUE(TRIM(INDEX($A218:$X218,MATCH(Lists!$F$9,$A$1:$X$1,0))&amp;""))),""))</f>
        <v/>
      </c>
      <c r="AM218" s="21">
        <f>IF(AE218="","",IFERROR(TRIM(INDEX($A218:$X218,MATCH(Lists!$F$10,$A$1:$X$1,0))&amp;""),""))</f>
        <v/>
      </c>
      <c r="AN218" s="21">
        <f>IF(AE218="","",IF(OR(AM218="Paid",AM218="Partially refunded"),"Paid",IF(Z218="Yes","Paid (by hand)",IF(AM218&lt;&gt;"",AM218,"Unpaid"))))</f>
        <v/>
      </c>
      <c r="AO218" s="21">
        <f>IF(AD218=1,COUNTIFS($AE$2:$AE$301,"&lt;"&amp;AE218,$AD$2:$AD$301,1)+COUNTIF($AE$2:AE218,AE218),"")</f>
        <v/>
      </c>
    </row>
    <row r="219">
      <c r="Y219" s="19" t="n"/>
      <c r="Z219" s="22" t="n"/>
      <c r="AA219" s="22" t="n"/>
      <c r="AB219" s="22" t="n"/>
      <c r="AC219" s="19" t="n"/>
      <c r="AD219" s="21">
        <f>IF(AE219="",0,1)</f>
        <v/>
      </c>
      <c r="AE219" s="21">
        <f>IFERROR(TRIM(INDEX($A219:$X219,MATCH(Lists!$F$2,$A$1:$X$1,0))&amp;""),"")</f>
        <v/>
      </c>
      <c r="AF219" s="21">
        <f>IF(AE219="","",IFERROR(TRIM(INDEX($A219:$X219,MATCH(Lists!$F$3,$A$1:$X$1,0))&amp;""),""))</f>
        <v/>
      </c>
      <c r="AG219" s="21">
        <f>IF(AE219="","",IFERROR(TRIM(INDEX($A219:$X219,MATCH(Lists!$F$4,$A$1:$X$1,0))&amp;""),""))</f>
        <v/>
      </c>
      <c r="AH219" s="21">
        <f>IF(AE219="","",LOWER(IFERROR(TRIM(INDEX($A219:$X219,MATCH(Lists!$F$5,$A$1:$X$1,0))&amp;""),"")))</f>
        <v/>
      </c>
      <c r="AI219" s="21">
        <f>IF(AE219="","",IFERROR(TRIM(INDEX($A219:$X219,MATCH(Lists!$F$6,$A$1:$X$1,0))&amp;""),""))</f>
        <v/>
      </c>
      <c r="AJ219" s="21">
        <f>IF(AE219="","",IF(LEFT(IFERROR(TRIM(INDEX($A219:$X219,MATCH(Lists!$F$7,$A$1:$X$1,0))&amp;""),""),3)="Yes","Yes","No"))</f>
        <v/>
      </c>
      <c r="AK219" s="21">
        <f>IF(AE219="","",IFERROR(TRIM(INDEX($A219:$X219,MATCH(Lists!$F$8,$A$1:$X$1,0))&amp;""),""))</f>
        <v/>
      </c>
      <c r="AL219" s="21">
        <f>IF(AE219="","",IFERROR(IF(TRIM(INDEX($A219:$X219,MATCH(Lists!$F$9,$A$1:$X$1,0))&amp;"")="","",VALUE(TRIM(INDEX($A219:$X219,MATCH(Lists!$F$9,$A$1:$X$1,0))&amp;""))),""))</f>
        <v/>
      </c>
      <c r="AM219" s="21">
        <f>IF(AE219="","",IFERROR(TRIM(INDEX($A219:$X219,MATCH(Lists!$F$10,$A$1:$X$1,0))&amp;""),""))</f>
        <v/>
      </c>
      <c r="AN219" s="21">
        <f>IF(AE219="","",IF(OR(AM219="Paid",AM219="Partially refunded"),"Paid",IF(Z219="Yes","Paid (by hand)",IF(AM219&lt;&gt;"",AM219,"Unpaid"))))</f>
        <v/>
      </c>
      <c r="AO219" s="21">
        <f>IF(AD219=1,COUNTIFS($AE$2:$AE$301,"&lt;"&amp;AE219,$AD$2:$AD$301,1)+COUNTIF($AE$2:AE219,AE219),"")</f>
        <v/>
      </c>
    </row>
    <row r="220">
      <c r="Y220" s="19" t="n"/>
      <c r="Z220" s="22" t="n"/>
      <c r="AA220" s="22" t="n"/>
      <c r="AB220" s="22" t="n"/>
      <c r="AC220" s="19" t="n"/>
      <c r="AD220" s="21">
        <f>IF(AE220="",0,1)</f>
        <v/>
      </c>
      <c r="AE220" s="21">
        <f>IFERROR(TRIM(INDEX($A220:$X220,MATCH(Lists!$F$2,$A$1:$X$1,0))&amp;""),"")</f>
        <v/>
      </c>
      <c r="AF220" s="21">
        <f>IF(AE220="","",IFERROR(TRIM(INDEX($A220:$X220,MATCH(Lists!$F$3,$A$1:$X$1,0))&amp;""),""))</f>
        <v/>
      </c>
      <c r="AG220" s="21">
        <f>IF(AE220="","",IFERROR(TRIM(INDEX($A220:$X220,MATCH(Lists!$F$4,$A$1:$X$1,0))&amp;""),""))</f>
        <v/>
      </c>
      <c r="AH220" s="21">
        <f>IF(AE220="","",LOWER(IFERROR(TRIM(INDEX($A220:$X220,MATCH(Lists!$F$5,$A$1:$X$1,0))&amp;""),"")))</f>
        <v/>
      </c>
      <c r="AI220" s="21">
        <f>IF(AE220="","",IFERROR(TRIM(INDEX($A220:$X220,MATCH(Lists!$F$6,$A$1:$X$1,0))&amp;""),""))</f>
        <v/>
      </c>
      <c r="AJ220" s="21">
        <f>IF(AE220="","",IF(LEFT(IFERROR(TRIM(INDEX($A220:$X220,MATCH(Lists!$F$7,$A$1:$X$1,0))&amp;""),""),3)="Yes","Yes","No"))</f>
        <v/>
      </c>
      <c r="AK220" s="21">
        <f>IF(AE220="","",IFERROR(TRIM(INDEX($A220:$X220,MATCH(Lists!$F$8,$A$1:$X$1,0))&amp;""),""))</f>
        <v/>
      </c>
      <c r="AL220" s="21">
        <f>IF(AE220="","",IFERROR(IF(TRIM(INDEX($A220:$X220,MATCH(Lists!$F$9,$A$1:$X$1,0))&amp;"")="","",VALUE(TRIM(INDEX($A220:$X220,MATCH(Lists!$F$9,$A$1:$X$1,0))&amp;""))),""))</f>
        <v/>
      </c>
      <c r="AM220" s="21">
        <f>IF(AE220="","",IFERROR(TRIM(INDEX($A220:$X220,MATCH(Lists!$F$10,$A$1:$X$1,0))&amp;""),""))</f>
        <v/>
      </c>
      <c r="AN220" s="21">
        <f>IF(AE220="","",IF(OR(AM220="Paid",AM220="Partially refunded"),"Paid",IF(Z220="Yes","Paid (by hand)",IF(AM220&lt;&gt;"",AM220,"Unpaid"))))</f>
        <v/>
      </c>
      <c r="AO220" s="21">
        <f>IF(AD220=1,COUNTIFS($AE$2:$AE$301,"&lt;"&amp;AE220,$AD$2:$AD$301,1)+COUNTIF($AE$2:AE220,AE220),"")</f>
        <v/>
      </c>
    </row>
    <row r="221">
      <c r="Y221" s="19" t="n"/>
      <c r="Z221" s="22" t="n"/>
      <c r="AA221" s="22" t="n"/>
      <c r="AB221" s="22" t="n"/>
      <c r="AC221" s="19" t="n"/>
      <c r="AD221" s="21">
        <f>IF(AE221="",0,1)</f>
        <v/>
      </c>
      <c r="AE221" s="21">
        <f>IFERROR(TRIM(INDEX($A221:$X221,MATCH(Lists!$F$2,$A$1:$X$1,0))&amp;""),"")</f>
        <v/>
      </c>
      <c r="AF221" s="21">
        <f>IF(AE221="","",IFERROR(TRIM(INDEX($A221:$X221,MATCH(Lists!$F$3,$A$1:$X$1,0))&amp;""),""))</f>
        <v/>
      </c>
      <c r="AG221" s="21">
        <f>IF(AE221="","",IFERROR(TRIM(INDEX($A221:$X221,MATCH(Lists!$F$4,$A$1:$X$1,0))&amp;""),""))</f>
        <v/>
      </c>
      <c r="AH221" s="21">
        <f>IF(AE221="","",LOWER(IFERROR(TRIM(INDEX($A221:$X221,MATCH(Lists!$F$5,$A$1:$X$1,0))&amp;""),"")))</f>
        <v/>
      </c>
      <c r="AI221" s="21">
        <f>IF(AE221="","",IFERROR(TRIM(INDEX($A221:$X221,MATCH(Lists!$F$6,$A$1:$X$1,0))&amp;""),""))</f>
        <v/>
      </c>
      <c r="AJ221" s="21">
        <f>IF(AE221="","",IF(LEFT(IFERROR(TRIM(INDEX($A221:$X221,MATCH(Lists!$F$7,$A$1:$X$1,0))&amp;""),""),3)="Yes","Yes","No"))</f>
        <v/>
      </c>
      <c r="AK221" s="21">
        <f>IF(AE221="","",IFERROR(TRIM(INDEX($A221:$X221,MATCH(Lists!$F$8,$A$1:$X$1,0))&amp;""),""))</f>
        <v/>
      </c>
      <c r="AL221" s="21">
        <f>IF(AE221="","",IFERROR(IF(TRIM(INDEX($A221:$X221,MATCH(Lists!$F$9,$A$1:$X$1,0))&amp;"")="","",VALUE(TRIM(INDEX($A221:$X221,MATCH(Lists!$F$9,$A$1:$X$1,0))&amp;""))),""))</f>
        <v/>
      </c>
      <c r="AM221" s="21">
        <f>IF(AE221="","",IFERROR(TRIM(INDEX($A221:$X221,MATCH(Lists!$F$10,$A$1:$X$1,0))&amp;""),""))</f>
        <v/>
      </c>
      <c r="AN221" s="21">
        <f>IF(AE221="","",IF(OR(AM221="Paid",AM221="Partially refunded"),"Paid",IF(Z221="Yes","Paid (by hand)",IF(AM221&lt;&gt;"",AM221,"Unpaid"))))</f>
        <v/>
      </c>
      <c r="AO221" s="21">
        <f>IF(AD221=1,COUNTIFS($AE$2:$AE$301,"&lt;"&amp;AE221,$AD$2:$AD$301,1)+COUNTIF($AE$2:AE221,AE221),"")</f>
        <v/>
      </c>
    </row>
    <row r="222">
      <c r="Y222" s="19" t="n"/>
      <c r="Z222" s="22" t="n"/>
      <c r="AA222" s="22" t="n"/>
      <c r="AB222" s="22" t="n"/>
      <c r="AC222" s="19" t="n"/>
      <c r="AD222" s="21">
        <f>IF(AE222="",0,1)</f>
        <v/>
      </c>
      <c r="AE222" s="21">
        <f>IFERROR(TRIM(INDEX($A222:$X222,MATCH(Lists!$F$2,$A$1:$X$1,0))&amp;""),"")</f>
        <v/>
      </c>
      <c r="AF222" s="21">
        <f>IF(AE222="","",IFERROR(TRIM(INDEX($A222:$X222,MATCH(Lists!$F$3,$A$1:$X$1,0))&amp;""),""))</f>
        <v/>
      </c>
      <c r="AG222" s="21">
        <f>IF(AE222="","",IFERROR(TRIM(INDEX($A222:$X222,MATCH(Lists!$F$4,$A$1:$X$1,0))&amp;""),""))</f>
        <v/>
      </c>
      <c r="AH222" s="21">
        <f>IF(AE222="","",LOWER(IFERROR(TRIM(INDEX($A222:$X222,MATCH(Lists!$F$5,$A$1:$X$1,0))&amp;""),"")))</f>
        <v/>
      </c>
      <c r="AI222" s="21">
        <f>IF(AE222="","",IFERROR(TRIM(INDEX($A222:$X222,MATCH(Lists!$F$6,$A$1:$X$1,0))&amp;""),""))</f>
        <v/>
      </c>
      <c r="AJ222" s="21">
        <f>IF(AE222="","",IF(LEFT(IFERROR(TRIM(INDEX($A222:$X222,MATCH(Lists!$F$7,$A$1:$X$1,0))&amp;""),""),3)="Yes","Yes","No"))</f>
        <v/>
      </c>
      <c r="AK222" s="21">
        <f>IF(AE222="","",IFERROR(TRIM(INDEX($A222:$X222,MATCH(Lists!$F$8,$A$1:$X$1,0))&amp;""),""))</f>
        <v/>
      </c>
      <c r="AL222" s="21">
        <f>IF(AE222="","",IFERROR(IF(TRIM(INDEX($A222:$X222,MATCH(Lists!$F$9,$A$1:$X$1,0))&amp;"")="","",VALUE(TRIM(INDEX($A222:$X222,MATCH(Lists!$F$9,$A$1:$X$1,0))&amp;""))),""))</f>
        <v/>
      </c>
      <c r="AM222" s="21">
        <f>IF(AE222="","",IFERROR(TRIM(INDEX($A222:$X222,MATCH(Lists!$F$10,$A$1:$X$1,0))&amp;""),""))</f>
        <v/>
      </c>
      <c r="AN222" s="21">
        <f>IF(AE222="","",IF(OR(AM222="Paid",AM222="Partially refunded"),"Paid",IF(Z222="Yes","Paid (by hand)",IF(AM222&lt;&gt;"",AM222,"Unpaid"))))</f>
        <v/>
      </c>
      <c r="AO222" s="21">
        <f>IF(AD222=1,COUNTIFS($AE$2:$AE$301,"&lt;"&amp;AE222,$AD$2:$AD$301,1)+COUNTIF($AE$2:AE222,AE222),"")</f>
        <v/>
      </c>
    </row>
    <row r="223">
      <c r="Y223" s="19" t="n"/>
      <c r="Z223" s="22" t="n"/>
      <c r="AA223" s="22" t="n"/>
      <c r="AB223" s="22" t="n"/>
      <c r="AC223" s="19" t="n"/>
      <c r="AD223" s="21">
        <f>IF(AE223="",0,1)</f>
        <v/>
      </c>
      <c r="AE223" s="21">
        <f>IFERROR(TRIM(INDEX($A223:$X223,MATCH(Lists!$F$2,$A$1:$X$1,0))&amp;""),"")</f>
        <v/>
      </c>
      <c r="AF223" s="21">
        <f>IF(AE223="","",IFERROR(TRIM(INDEX($A223:$X223,MATCH(Lists!$F$3,$A$1:$X$1,0))&amp;""),""))</f>
        <v/>
      </c>
      <c r="AG223" s="21">
        <f>IF(AE223="","",IFERROR(TRIM(INDEX($A223:$X223,MATCH(Lists!$F$4,$A$1:$X$1,0))&amp;""),""))</f>
        <v/>
      </c>
      <c r="AH223" s="21">
        <f>IF(AE223="","",LOWER(IFERROR(TRIM(INDEX($A223:$X223,MATCH(Lists!$F$5,$A$1:$X$1,0))&amp;""),"")))</f>
        <v/>
      </c>
      <c r="AI223" s="21">
        <f>IF(AE223="","",IFERROR(TRIM(INDEX($A223:$X223,MATCH(Lists!$F$6,$A$1:$X$1,0))&amp;""),""))</f>
        <v/>
      </c>
      <c r="AJ223" s="21">
        <f>IF(AE223="","",IF(LEFT(IFERROR(TRIM(INDEX($A223:$X223,MATCH(Lists!$F$7,$A$1:$X$1,0))&amp;""),""),3)="Yes","Yes","No"))</f>
        <v/>
      </c>
      <c r="AK223" s="21">
        <f>IF(AE223="","",IFERROR(TRIM(INDEX($A223:$X223,MATCH(Lists!$F$8,$A$1:$X$1,0))&amp;""),""))</f>
        <v/>
      </c>
      <c r="AL223" s="21">
        <f>IF(AE223="","",IFERROR(IF(TRIM(INDEX($A223:$X223,MATCH(Lists!$F$9,$A$1:$X$1,0))&amp;"")="","",VALUE(TRIM(INDEX($A223:$X223,MATCH(Lists!$F$9,$A$1:$X$1,0))&amp;""))),""))</f>
        <v/>
      </c>
      <c r="AM223" s="21">
        <f>IF(AE223="","",IFERROR(TRIM(INDEX($A223:$X223,MATCH(Lists!$F$10,$A$1:$X$1,0))&amp;""),""))</f>
        <v/>
      </c>
      <c r="AN223" s="21">
        <f>IF(AE223="","",IF(OR(AM223="Paid",AM223="Partially refunded"),"Paid",IF(Z223="Yes","Paid (by hand)",IF(AM223&lt;&gt;"",AM223,"Unpaid"))))</f>
        <v/>
      </c>
      <c r="AO223" s="21">
        <f>IF(AD223=1,COUNTIFS($AE$2:$AE$301,"&lt;"&amp;AE223,$AD$2:$AD$301,1)+COUNTIF($AE$2:AE223,AE223),"")</f>
        <v/>
      </c>
    </row>
    <row r="224">
      <c r="Y224" s="19" t="n"/>
      <c r="Z224" s="22" t="n"/>
      <c r="AA224" s="22" t="n"/>
      <c r="AB224" s="22" t="n"/>
      <c r="AC224" s="19" t="n"/>
      <c r="AD224" s="21">
        <f>IF(AE224="",0,1)</f>
        <v/>
      </c>
      <c r="AE224" s="21">
        <f>IFERROR(TRIM(INDEX($A224:$X224,MATCH(Lists!$F$2,$A$1:$X$1,0))&amp;""),"")</f>
        <v/>
      </c>
      <c r="AF224" s="21">
        <f>IF(AE224="","",IFERROR(TRIM(INDEX($A224:$X224,MATCH(Lists!$F$3,$A$1:$X$1,0))&amp;""),""))</f>
        <v/>
      </c>
      <c r="AG224" s="21">
        <f>IF(AE224="","",IFERROR(TRIM(INDEX($A224:$X224,MATCH(Lists!$F$4,$A$1:$X$1,0))&amp;""),""))</f>
        <v/>
      </c>
      <c r="AH224" s="21">
        <f>IF(AE224="","",LOWER(IFERROR(TRIM(INDEX($A224:$X224,MATCH(Lists!$F$5,$A$1:$X$1,0))&amp;""),"")))</f>
        <v/>
      </c>
      <c r="AI224" s="21">
        <f>IF(AE224="","",IFERROR(TRIM(INDEX($A224:$X224,MATCH(Lists!$F$6,$A$1:$X$1,0))&amp;""),""))</f>
        <v/>
      </c>
      <c r="AJ224" s="21">
        <f>IF(AE224="","",IF(LEFT(IFERROR(TRIM(INDEX($A224:$X224,MATCH(Lists!$F$7,$A$1:$X$1,0))&amp;""),""),3)="Yes","Yes","No"))</f>
        <v/>
      </c>
      <c r="AK224" s="21">
        <f>IF(AE224="","",IFERROR(TRIM(INDEX($A224:$X224,MATCH(Lists!$F$8,$A$1:$X$1,0))&amp;""),""))</f>
        <v/>
      </c>
      <c r="AL224" s="21">
        <f>IF(AE224="","",IFERROR(IF(TRIM(INDEX($A224:$X224,MATCH(Lists!$F$9,$A$1:$X$1,0))&amp;"")="","",VALUE(TRIM(INDEX($A224:$X224,MATCH(Lists!$F$9,$A$1:$X$1,0))&amp;""))),""))</f>
        <v/>
      </c>
      <c r="AM224" s="21">
        <f>IF(AE224="","",IFERROR(TRIM(INDEX($A224:$X224,MATCH(Lists!$F$10,$A$1:$X$1,0))&amp;""),""))</f>
        <v/>
      </c>
      <c r="AN224" s="21">
        <f>IF(AE224="","",IF(OR(AM224="Paid",AM224="Partially refunded"),"Paid",IF(Z224="Yes","Paid (by hand)",IF(AM224&lt;&gt;"",AM224,"Unpaid"))))</f>
        <v/>
      </c>
      <c r="AO224" s="21">
        <f>IF(AD224=1,COUNTIFS($AE$2:$AE$301,"&lt;"&amp;AE224,$AD$2:$AD$301,1)+COUNTIF($AE$2:AE224,AE224),"")</f>
        <v/>
      </c>
    </row>
    <row r="225">
      <c r="Y225" s="19" t="n"/>
      <c r="Z225" s="22" t="n"/>
      <c r="AA225" s="22" t="n"/>
      <c r="AB225" s="22" t="n"/>
      <c r="AC225" s="19" t="n"/>
      <c r="AD225" s="21">
        <f>IF(AE225="",0,1)</f>
        <v/>
      </c>
      <c r="AE225" s="21">
        <f>IFERROR(TRIM(INDEX($A225:$X225,MATCH(Lists!$F$2,$A$1:$X$1,0))&amp;""),"")</f>
        <v/>
      </c>
      <c r="AF225" s="21">
        <f>IF(AE225="","",IFERROR(TRIM(INDEX($A225:$X225,MATCH(Lists!$F$3,$A$1:$X$1,0))&amp;""),""))</f>
        <v/>
      </c>
      <c r="AG225" s="21">
        <f>IF(AE225="","",IFERROR(TRIM(INDEX($A225:$X225,MATCH(Lists!$F$4,$A$1:$X$1,0))&amp;""),""))</f>
        <v/>
      </c>
      <c r="AH225" s="21">
        <f>IF(AE225="","",LOWER(IFERROR(TRIM(INDEX($A225:$X225,MATCH(Lists!$F$5,$A$1:$X$1,0))&amp;""),"")))</f>
        <v/>
      </c>
      <c r="AI225" s="21">
        <f>IF(AE225="","",IFERROR(TRIM(INDEX($A225:$X225,MATCH(Lists!$F$6,$A$1:$X$1,0))&amp;""),""))</f>
        <v/>
      </c>
      <c r="AJ225" s="21">
        <f>IF(AE225="","",IF(LEFT(IFERROR(TRIM(INDEX($A225:$X225,MATCH(Lists!$F$7,$A$1:$X$1,0))&amp;""),""),3)="Yes","Yes","No"))</f>
        <v/>
      </c>
      <c r="AK225" s="21">
        <f>IF(AE225="","",IFERROR(TRIM(INDEX($A225:$X225,MATCH(Lists!$F$8,$A$1:$X$1,0))&amp;""),""))</f>
        <v/>
      </c>
      <c r="AL225" s="21">
        <f>IF(AE225="","",IFERROR(IF(TRIM(INDEX($A225:$X225,MATCH(Lists!$F$9,$A$1:$X$1,0))&amp;"")="","",VALUE(TRIM(INDEX($A225:$X225,MATCH(Lists!$F$9,$A$1:$X$1,0))&amp;""))),""))</f>
        <v/>
      </c>
      <c r="AM225" s="21">
        <f>IF(AE225="","",IFERROR(TRIM(INDEX($A225:$X225,MATCH(Lists!$F$10,$A$1:$X$1,0))&amp;""),""))</f>
        <v/>
      </c>
      <c r="AN225" s="21">
        <f>IF(AE225="","",IF(OR(AM225="Paid",AM225="Partially refunded"),"Paid",IF(Z225="Yes","Paid (by hand)",IF(AM225&lt;&gt;"",AM225,"Unpaid"))))</f>
        <v/>
      </c>
      <c r="AO225" s="21">
        <f>IF(AD225=1,COUNTIFS($AE$2:$AE$301,"&lt;"&amp;AE225,$AD$2:$AD$301,1)+COUNTIF($AE$2:AE225,AE225),"")</f>
        <v/>
      </c>
    </row>
    <row r="226">
      <c r="Y226" s="19" t="n"/>
      <c r="Z226" s="22" t="n"/>
      <c r="AA226" s="22" t="n"/>
      <c r="AB226" s="22" t="n"/>
      <c r="AC226" s="19" t="n"/>
      <c r="AD226" s="21">
        <f>IF(AE226="",0,1)</f>
        <v/>
      </c>
      <c r="AE226" s="21">
        <f>IFERROR(TRIM(INDEX($A226:$X226,MATCH(Lists!$F$2,$A$1:$X$1,0))&amp;""),"")</f>
        <v/>
      </c>
      <c r="AF226" s="21">
        <f>IF(AE226="","",IFERROR(TRIM(INDEX($A226:$X226,MATCH(Lists!$F$3,$A$1:$X$1,0))&amp;""),""))</f>
        <v/>
      </c>
      <c r="AG226" s="21">
        <f>IF(AE226="","",IFERROR(TRIM(INDEX($A226:$X226,MATCH(Lists!$F$4,$A$1:$X$1,0))&amp;""),""))</f>
        <v/>
      </c>
      <c r="AH226" s="21">
        <f>IF(AE226="","",LOWER(IFERROR(TRIM(INDEX($A226:$X226,MATCH(Lists!$F$5,$A$1:$X$1,0))&amp;""),"")))</f>
        <v/>
      </c>
      <c r="AI226" s="21">
        <f>IF(AE226="","",IFERROR(TRIM(INDEX($A226:$X226,MATCH(Lists!$F$6,$A$1:$X$1,0))&amp;""),""))</f>
        <v/>
      </c>
      <c r="AJ226" s="21">
        <f>IF(AE226="","",IF(LEFT(IFERROR(TRIM(INDEX($A226:$X226,MATCH(Lists!$F$7,$A$1:$X$1,0))&amp;""),""),3)="Yes","Yes","No"))</f>
        <v/>
      </c>
      <c r="AK226" s="21">
        <f>IF(AE226="","",IFERROR(TRIM(INDEX($A226:$X226,MATCH(Lists!$F$8,$A$1:$X$1,0))&amp;""),""))</f>
        <v/>
      </c>
      <c r="AL226" s="21">
        <f>IF(AE226="","",IFERROR(IF(TRIM(INDEX($A226:$X226,MATCH(Lists!$F$9,$A$1:$X$1,0))&amp;"")="","",VALUE(TRIM(INDEX($A226:$X226,MATCH(Lists!$F$9,$A$1:$X$1,0))&amp;""))),""))</f>
        <v/>
      </c>
      <c r="AM226" s="21">
        <f>IF(AE226="","",IFERROR(TRIM(INDEX($A226:$X226,MATCH(Lists!$F$10,$A$1:$X$1,0))&amp;""),""))</f>
        <v/>
      </c>
      <c r="AN226" s="21">
        <f>IF(AE226="","",IF(OR(AM226="Paid",AM226="Partially refunded"),"Paid",IF(Z226="Yes","Paid (by hand)",IF(AM226&lt;&gt;"",AM226,"Unpaid"))))</f>
        <v/>
      </c>
      <c r="AO226" s="21">
        <f>IF(AD226=1,COUNTIFS($AE$2:$AE$301,"&lt;"&amp;AE226,$AD$2:$AD$301,1)+COUNTIF($AE$2:AE226,AE226),"")</f>
        <v/>
      </c>
    </row>
    <row r="227">
      <c r="Y227" s="19" t="n"/>
      <c r="Z227" s="22" t="n"/>
      <c r="AA227" s="22" t="n"/>
      <c r="AB227" s="22" t="n"/>
      <c r="AC227" s="19" t="n"/>
      <c r="AD227" s="21">
        <f>IF(AE227="",0,1)</f>
        <v/>
      </c>
      <c r="AE227" s="21">
        <f>IFERROR(TRIM(INDEX($A227:$X227,MATCH(Lists!$F$2,$A$1:$X$1,0))&amp;""),"")</f>
        <v/>
      </c>
      <c r="AF227" s="21">
        <f>IF(AE227="","",IFERROR(TRIM(INDEX($A227:$X227,MATCH(Lists!$F$3,$A$1:$X$1,0))&amp;""),""))</f>
        <v/>
      </c>
      <c r="AG227" s="21">
        <f>IF(AE227="","",IFERROR(TRIM(INDEX($A227:$X227,MATCH(Lists!$F$4,$A$1:$X$1,0))&amp;""),""))</f>
        <v/>
      </c>
      <c r="AH227" s="21">
        <f>IF(AE227="","",LOWER(IFERROR(TRIM(INDEX($A227:$X227,MATCH(Lists!$F$5,$A$1:$X$1,0))&amp;""),"")))</f>
        <v/>
      </c>
      <c r="AI227" s="21">
        <f>IF(AE227="","",IFERROR(TRIM(INDEX($A227:$X227,MATCH(Lists!$F$6,$A$1:$X$1,0))&amp;""),""))</f>
        <v/>
      </c>
      <c r="AJ227" s="21">
        <f>IF(AE227="","",IF(LEFT(IFERROR(TRIM(INDEX($A227:$X227,MATCH(Lists!$F$7,$A$1:$X$1,0))&amp;""),""),3)="Yes","Yes","No"))</f>
        <v/>
      </c>
      <c r="AK227" s="21">
        <f>IF(AE227="","",IFERROR(TRIM(INDEX($A227:$X227,MATCH(Lists!$F$8,$A$1:$X$1,0))&amp;""),""))</f>
        <v/>
      </c>
      <c r="AL227" s="21">
        <f>IF(AE227="","",IFERROR(IF(TRIM(INDEX($A227:$X227,MATCH(Lists!$F$9,$A$1:$X$1,0))&amp;"")="","",VALUE(TRIM(INDEX($A227:$X227,MATCH(Lists!$F$9,$A$1:$X$1,0))&amp;""))),""))</f>
        <v/>
      </c>
      <c r="AM227" s="21">
        <f>IF(AE227="","",IFERROR(TRIM(INDEX($A227:$X227,MATCH(Lists!$F$10,$A$1:$X$1,0))&amp;""),""))</f>
        <v/>
      </c>
      <c r="AN227" s="21">
        <f>IF(AE227="","",IF(OR(AM227="Paid",AM227="Partially refunded"),"Paid",IF(Z227="Yes","Paid (by hand)",IF(AM227&lt;&gt;"",AM227,"Unpaid"))))</f>
        <v/>
      </c>
      <c r="AO227" s="21">
        <f>IF(AD227=1,COUNTIFS($AE$2:$AE$301,"&lt;"&amp;AE227,$AD$2:$AD$301,1)+COUNTIF($AE$2:AE227,AE227),"")</f>
        <v/>
      </c>
    </row>
    <row r="228">
      <c r="Y228" s="19" t="n"/>
      <c r="Z228" s="22" t="n"/>
      <c r="AA228" s="22" t="n"/>
      <c r="AB228" s="22" t="n"/>
      <c r="AC228" s="19" t="n"/>
      <c r="AD228" s="21">
        <f>IF(AE228="",0,1)</f>
        <v/>
      </c>
      <c r="AE228" s="21">
        <f>IFERROR(TRIM(INDEX($A228:$X228,MATCH(Lists!$F$2,$A$1:$X$1,0))&amp;""),"")</f>
        <v/>
      </c>
      <c r="AF228" s="21">
        <f>IF(AE228="","",IFERROR(TRIM(INDEX($A228:$X228,MATCH(Lists!$F$3,$A$1:$X$1,0))&amp;""),""))</f>
        <v/>
      </c>
      <c r="AG228" s="21">
        <f>IF(AE228="","",IFERROR(TRIM(INDEX($A228:$X228,MATCH(Lists!$F$4,$A$1:$X$1,0))&amp;""),""))</f>
        <v/>
      </c>
      <c r="AH228" s="21">
        <f>IF(AE228="","",LOWER(IFERROR(TRIM(INDEX($A228:$X228,MATCH(Lists!$F$5,$A$1:$X$1,0))&amp;""),"")))</f>
        <v/>
      </c>
      <c r="AI228" s="21">
        <f>IF(AE228="","",IFERROR(TRIM(INDEX($A228:$X228,MATCH(Lists!$F$6,$A$1:$X$1,0))&amp;""),""))</f>
        <v/>
      </c>
      <c r="AJ228" s="21">
        <f>IF(AE228="","",IF(LEFT(IFERROR(TRIM(INDEX($A228:$X228,MATCH(Lists!$F$7,$A$1:$X$1,0))&amp;""),""),3)="Yes","Yes","No"))</f>
        <v/>
      </c>
      <c r="AK228" s="21">
        <f>IF(AE228="","",IFERROR(TRIM(INDEX($A228:$X228,MATCH(Lists!$F$8,$A$1:$X$1,0))&amp;""),""))</f>
        <v/>
      </c>
      <c r="AL228" s="21">
        <f>IF(AE228="","",IFERROR(IF(TRIM(INDEX($A228:$X228,MATCH(Lists!$F$9,$A$1:$X$1,0))&amp;"")="","",VALUE(TRIM(INDEX($A228:$X228,MATCH(Lists!$F$9,$A$1:$X$1,0))&amp;""))),""))</f>
        <v/>
      </c>
      <c r="AM228" s="21">
        <f>IF(AE228="","",IFERROR(TRIM(INDEX($A228:$X228,MATCH(Lists!$F$10,$A$1:$X$1,0))&amp;""),""))</f>
        <v/>
      </c>
      <c r="AN228" s="21">
        <f>IF(AE228="","",IF(OR(AM228="Paid",AM228="Partially refunded"),"Paid",IF(Z228="Yes","Paid (by hand)",IF(AM228&lt;&gt;"",AM228,"Unpaid"))))</f>
        <v/>
      </c>
      <c r="AO228" s="21">
        <f>IF(AD228=1,COUNTIFS($AE$2:$AE$301,"&lt;"&amp;AE228,$AD$2:$AD$301,1)+COUNTIF($AE$2:AE228,AE228),"")</f>
        <v/>
      </c>
    </row>
    <row r="229">
      <c r="Y229" s="19" t="n"/>
      <c r="Z229" s="22" t="n"/>
      <c r="AA229" s="22" t="n"/>
      <c r="AB229" s="22" t="n"/>
      <c r="AC229" s="19" t="n"/>
      <c r="AD229" s="21">
        <f>IF(AE229="",0,1)</f>
        <v/>
      </c>
      <c r="AE229" s="21">
        <f>IFERROR(TRIM(INDEX($A229:$X229,MATCH(Lists!$F$2,$A$1:$X$1,0))&amp;""),"")</f>
        <v/>
      </c>
      <c r="AF229" s="21">
        <f>IF(AE229="","",IFERROR(TRIM(INDEX($A229:$X229,MATCH(Lists!$F$3,$A$1:$X$1,0))&amp;""),""))</f>
        <v/>
      </c>
      <c r="AG229" s="21">
        <f>IF(AE229="","",IFERROR(TRIM(INDEX($A229:$X229,MATCH(Lists!$F$4,$A$1:$X$1,0))&amp;""),""))</f>
        <v/>
      </c>
      <c r="AH229" s="21">
        <f>IF(AE229="","",LOWER(IFERROR(TRIM(INDEX($A229:$X229,MATCH(Lists!$F$5,$A$1:$X$1,0))&amp;""),"")))</f>
        <v/>
      </c>
      <c r="AI229" s="21">
        <f>IF(AE229="","",IFERROR(TRIM(INDEX($A229:$X229,MATCH(Lists!$F$6,$A$1:$X$1,0))&amp;""),""))</f>
        <v/>
      </c>
      <c r="AJ229" s="21">
        <f>IF(AE229="","",IF(LEFT(IFERROR(TRIM(INDEX($A229:$X229,MATCH(Lists!$F$7,$A$1:$X$1,0))&amp;""),""),3)="Yes","Yes","No"))</f>
        <v/>
      </c>
      <c r="AK229" s="21">
        <f>IF(AE229="","",IFERROR(TRIM(INDEX($A229:$X229,MATCH(Lists!$F$8,$A$1:$X$1,0))&amp;""),""))</f>
        <v/>
      </c>
      <c r="AL229" s="21">
        <f>IF(AE229="","",IFERROR(IF(TRIM(INDEX($A229:$X229,MATCH(Lists!$F$9,$A$1:$X$1,0))&amp;"")="","",VALUE(TRIM(INDEX($A229:$X229,MATCH(Lists!$F$9,$A$1:$X$1,0))&amp;""))),""))</f>
        <v/>
      </c>
      <c r="AM229" s="21">
        <f>IF(AE229="","",IFERROR(TRIM(INDEX($A229:$X229,MATCH(Lists!$F$10,$A$1:$X$1,0))&amp;""),""))</f>
        <v/>
      </c>
      <c r="AN229" s="21">
        <f>IF(AE229="","",IF(OR(AM229="Paid",AM229="Partially refunded"),"Paid",IF(Z229="Yes","Paid (by hand)",IF(AM229&lt;&gt;"",AM229,"Unpaid"))))</f>
        <v/>
      </c>
      <c r="AO229" s="21">
        <f>IF(AD229=1,COUNTIFS($AE$2:$AE$301,"&lt;"&amp;AE229,$AD$2:$AD$301,1)+COUNTIF($AE$2:AE229,AE229),"")</f>
        <v/>
      </c>
    </row>
    <row r="230">
      <c r="Y230" s="19" t="n"/>
      <c r="Z230" s="22" t="n"/>
      <c r="AA230" s="22" t="n"/>
      <c r="AB230" s="22" t="n"/>
      <c r="AC230" s="19" t="n"/>
      <c r="AD230" s="21">
        <f>IF(AE230="",0,1)</f>
        <v/>
      </c>
      <c r="AE230" s="21">
        <f>IFERROR(TRIM(INDEX($A230:$X230,MATCH(Lists!$F$2,$A$1:$X$1,0))&amp;""),"")</f>
        <v/>
      </c>
      <c r="AF230" s="21">
        <f>IF(AE230="","",IFERROR(TRIM(INDEX($A230:$X230,MATCH(Lists!$F$3,$A$1:$X$1,0))&amp;""),""))</f>
        <v/>
      </c>
      <c r="AG230" s="21">
        <f>IF(AE230="","",IFERROR(TRIM(INDEX($A230:$X230,MATCH(Lists!$F$4,$A$1:$X$1,0))&amp;""),""))</f>
        <v/>
      </c>
      <c r="AH230" s="21">
        <f>IF(AE230="","",LOWER(IFERROR(TRIM(INDEX($A230:$X230,MATCH(Lists!$F$5,$A$1:$X$1,0))&amp;""),"")))</f>
        <v/>
      </c>
      <c r="AI230" s="21">
        <f>IF(AE230="","",IFERROR(TRIM(INDEX($A230:$X230,MATCH(Lists!$F$6,$A$1:$X$1,0))&amp;""),""))</f>
        <v/>
      </c>
      <c r="AJ230" s="21">
        <f>IF(AE230="","",IF(LEFT(IFERROR(TRIM(INDEX($A230:$X230,MATCH(Lists!$F$7,$A$1:$X$1,0))&amp;""),""),3)="Yes","Yes","No"))</f>
        <v/>
      </c>
      <c r="AK230" s="21">
        <f>IF(AE230="","",IFERROR(TRIM(INDEX($A230:$X230,MATCH(Lists!$F$8,$A$1:$X$1,0))&amp;""),""))</f>
        <v/>
      </c>
      <c r="AL230" s="21">
        <f>IF(AE230="","",IFERROR(IF(TRIM(INDEX($A230:$X230,MATCH(Lists!$F$9,$A$1:$X$1,0))&amp;"")="","",VALUE(TRIM(INDEX($A230:$X230,MATCH(Lists!$F$9,$A$1:$X$1,0))&amp;""))),""))</f>
        <v/>
      </c>
      <c r="AM230" s="21">
        <f>IF(AE230="","",IFERROR(TRIM(INDEX($A230:$X230,MATCH(Lists!$F$10,$A$1:$X$1,0))&amp;""),""))</f>
        <v/>
      </c>
      <c r="AN230" s="21">
        <f>IF(AE230="","",IF(OR(AM230="Paid",AM230="Partially refunded"),"Paid",IF(Z230="Yes","Paid (by hand)",IF(AM230&lt;&gt;"",AM230,"Unpaid"))))</f>
        <v/>
      </c>
      <c r="AO230" s="21">
        <f>IF(AD230=1,COUNTIFS($AE$2:$AE$301,"&lt;"&amp;AE230,$AD$2:$AD$301,1)+COUNTIF($AE$2:AE230,AE230),"")</f>
        <v/>
      </c>
    </row>
    <row r="231">
      <c r="Y231" s="19" t="n"/>
      <c r="Z231" s="22" t="n"/>
      <c r="AA231" s="22" t="n"/>
      <c r="AB231" s="22" t="n"/>
      <c r="AC231" s="19" t="n"/>
      <c r="AD231" s="21">
        <f>IF(AE231="",0,1)</f>
        <v/>
      </c>
      <c r="AE231" s="21">
        <f>IFERROR(TRIM(INDEX($A231:$X231,MATCH(Lists!$F$2,$A$1:$X$1,0))&amp;""),"")</f>
        <v/>
      </c>
      <c r="AF231" s="21">
        <f>IF(AE231="","",IFERROR(TRIM(INDEX($A231:$X231,MATCH(Lists!$F$3,$A$1:$X$1,0))&amp;""),""))</f>
        <v/>
      </c>
      <c r="AG231" s="21">
        <f>IF(AE231="","",IFERROR(TRIM(INDEX($A231:$X231,MATCH(Lists!$F$4,$A$1:$X$1,0))&amp;""),""))</f>
        <v/>
      </c>
      <c r="AH231" s="21">
        <f>IF(AE231="","",LOWER(IFERROR(TRIM(INDEX($A231:$X231,MATCH(Lists!$F$5,$A$1:$X$1,0))&amp;""),"")))</f>
        <v/>
      </c>
      <c r="AI231" s="21">
        <f>IF(AE231="","",IFERROR(TRIM(INDEX($A231:$X231,MATCH(Lists!$F$6,$A$1:$X$1,0))&amp;""),""))</f>
        <v/>
      </c>
      <c r="AJ231" s="21">
        <f>IF(AE231="","",IF(LEFT(IFERROR(TRIM(INDEX($A231:$X231,MATCH(Lists!$F$7,$A$1:$X$1,0))&amp;""),""),3)="Yes","Yes","No"))</f>
        <v/>
      </c>
      <c r="AK231" s="21">
        <f>IF(AE231="","",IFERROR(TRIM(INDEX($A231:$X231,MATCH(Lists!$F$8,$A$1:$X$1,0))&amp;""),""))</f>
        <v/>
      </c>
      <c r="AL231" s="21">
        <f>IF(AE231="","",IFERROR(IF(TRIM(INDEX($A231:$X231,MATCH(Lists!$F$9,$A$1:$X$1,0))&amp;"")="","",VALUE(TRIM(INDEX($A231:$X231,MATCH(Lists!$F$9,$A$1:$X$1,0))&amp;""))),""))</f>
        <v/>
      </c>
      <c r="AM231" s="21">
        <f>IF(AE231="","",IFERROR(TRIM(INDEX($A231:$X231,MATCH(Lists!$F$10,$A$1:$X$1,0))&amp;""),""))</f>
        <v/>
      </c>
      <c r="AN231" s="21">
        <f>IF(AE231="","",IF(OR(AM231="Paid",AM231="Partially refunded"),"Paid",IF(Z231="Yes","Paid (by hand)",IF(AM231&lt;&gt;"",AM231,"Unpaid"))))</f>
        <v/>
      </c>
      <c r="AO231" s="21">
        <f>IF(AD231=1,COUNTIFS($AE$2:$AE$301,"&lt;"&amp;AE231,$AD$2:$AD$301,1)+COUNTIF($AE$2:AE231,AE231),"")</f>
        <v/>
      </c>
    </row>
    <row r="232">
      <c r="Y232" s="19" t="n"/>
      <c r="Z232" s="22" t="n"/>
      <c r="AA232" s="22" t="n"/>
      <c r="AB232" s="22" t="n"/>
      <c r="AC232" s="19" t="n"/>
      <c r="AD232" s="21">
        <f>IF(AE232="",0,1)</f>
        <v/>
      </c>
      <c r="AE232" s="21">
        <f>IFERROR(TRIM(INDEX($A232:$X232,MATCH(Lists!$F$2,$A$1:$X$1,0))&amp;""),"")</f>
        <v/>
      </c>
      <c r="AF232" s="21">
        <f>IF(AE232="","",IFERROR(TRIM(INDEX($A232:$X232,MATCH(Lists!$F$3,$A$1:$X$1,0))&amp;""),""))</f>
        <v/>
      </c>
      <c r="AG232" s="21">
        <f>IF(AE232="","",IFERROR(TRIM(INDEX($A232:$X232,MATCH(Lists!$F$4,$A$1:$X$1,0))&amp;""),""))</f>
        <v/>
      </c>
      <c r="AH232" s="21">
        <f>IF(AE232="","",LOWER(IFERROR(TRIM(INDEX($A232:$X232,MATCH(Lists!$F$5,$A$1:$X$1,0))&amp;""),"")))</f>
        <v/>
      </c>
      <c r="AI232" s="21">
        <f>IF(AE232="","",IFERROR(TRIM(INDEX($A232:$X232,MATCH(Lists!$F$6,$A$1:$X$1,0))&amp;""),""))</f>
        <v/>
      </c>
      <c r="AJ232" s="21">
        <f>IF(AE232="","",IF(LEFT(IFERROR(TRIM(INDEX($A232:$X232,MATCH(Lists!$F$7,$A$1:$X$1,0))&amp;""),""),3)="Yes","Yes","No"))</f>
        <v/>
      </c>
      <c r="AK232" s="21">
        <f>IF(AE232="","",IFERROR(TRIM(INDEX($A232:$X232,MATCH(Lists!$F$8,$A$1:$X$1,0))&amp;""),""))</f>
        <v/>
      </c>
      <c r="AL232" s="21">
        <f>IF(AE232="","",IFERROR(IF(TRIM(INDEX($A232:$X232,MATCH(Lists!$F$9,$A$1:$X$1,0))&amp;"")="","",VALUE(TRIM(INDEX($A232:$X232,MATCH(Lists!$F$9,$A$1:$X$1,0))&amp;""))),""))</f>
        <v/>
      </c>
      <c r="AM232" s="21">
        <f>IF(AE232="","",IFERROR(TRIM(INDEX($A232:$X232,MATCH(Lists!$F$10,$A$1:$X$1,0))&amp;""),""))</f>
        <v/>
      </c>
      <c r="AN232" s="21">
        <f>IF(AE232="","",IF(OR(AM232="Paid",AM232="Partially refunded"),"Paid",IF(Z232="Yes","Paid (by hand)",IF(AM232&lt;&gt;"",AM232,"Unpaid"))))</f>
        <v/>
      </c>
      <c r="AO232" s="21">
        <f>IF(AD232=1,COUNTIFS($AE$2:$AE$301,"&lt;"&amp;AE232,$AD$2:$AD$301,1)+COUNTIF($AE$2:AE232,AE232),"")</f>
        <v/>
      </c>
    </row>
    <row r="233">
      <c r="Y233" s="19" t="n"/>
      <c r="Z233" s="22" t="n"/>
      <c r="AA233" s="22" t="n"/>
      <c r="AB233" s="22" t="n"/>
      <c r="AC233" s="19" t="n"/>
      <c r="AD233" s="21">
        <f>IF(AE233="",0,1)</f>
        <v/>
      </c>
      <c r="AE233" s="21">
        <f>IFERROR(TRIM(INDEX($A233:$X233,MATCH(Lists!$F$2,$A$1:$X$1,0))&amp;""),"")</f>
        <v/>
      </c>
      <c r="AF233" s="21">
        <f>IF(AE233="","",IFERROR(TRIM(INDEX($A233:$X233,MATCH(Lists!$F$3,$A$1:$X$1,0))&amp;""),""))</f>
        <v/>
      </c>
      <c r="AG233" s="21">
        <f>IF(AE233="","",IFERROR(TRIM(INDEX($A233:$X233,MATCH(Lists!$F$4,$A$1:$X$1,0))&amp;""),""))</f>
        <v/>
      </c>
      <c r="AH233" s="21">
        <f>IF(AE233="","",LOWER(IFERROR(TRIM(INDEX($A233:$X233,MATCH(Lists!$F$5,$A$1:$X$1,0))&amp;""),"")))</f>
        <v/>
      </c>
      <c r="AI233" s="21">
        <f>IF(AE233="","",IFERROR(TRIM(INDEX($A233:$X233,MATCH(Lists!$F$6,$A$1:$X$1,0))&amp;""),""))</f>
        <v/>
      </c>
      <c r="AJ233" s="21">
        <f>IF(AE233="","",IF(LEFT(IFERROR(TRIM(INDEX($A233:$X233,MATCH(Lists!$F$7,$A$1:$X$1,0))&amp;""),""),3)="Yes","Yes","No"))</f>
        <v/>
      </c>
      <c r="AK233" s="21">
        <f>IF(AE233="","",IFERROR(TRIM(INDEX($A233:$X233,MATCH(Lists!$F$8,$A$1:$X$1,0))&amp;""),""))</f>
        <v/>
      </c>
      <c r="AL233" s="21">
        <f>IF(AE233="","",IFERROR(IF(TRIM(INDEX($A233:$X233,MATCH(Lists!$F$9,$A$1:$X$1,0))&amp;"")="","",VALUE(TRIM(INDEX($A233:$X233,MATCH(Lists!$F$9,$A$1:$X$1,0))&amp;""))),""))</f>
        <v/>
      </c>
      <c r="AM233" s="21">
        <f>IF(AE233="","",IFERROR(TRIM(INDEX($A233:$X233,MATCH(Lists!$F$10,$A$1:$X$1,0))&amp;""),""))</f>
        <v/>
      </c>
      <c r="AN233" s="21">
        <f>IF(AE233="","",IF(OR(AM233="Paid",AM233="Partially refunded"),"Paid",IF(Z233="Yes","Paid (by hand)",IF(AM233&lt;&gt;"",AM233,"Unpaid"))))</f>
        <v/>
      </c>
      <c r="AO233" s="21">
        <f>IF(AD233=1,COUNTIFS($AE$2:$AE$301,"&lt;"&amp;AE233,$AD$2:$AD$301,1)+COUNTIF($AE$2:AE233,AE233),"")</f>
        <v/>
      </c>
    </row>
    <row r="234">
      <c r="Y234" s="19" t="n"/>
      <c r="Z234" s="22" t="n"/>
      <c r="AA234" s="22" t="n"/>
      <c r="AB234" s="22" t="n"/>
      <c r="AC234" s="19" t="n"/>
      <c r="AD234" s="21">
        <f>IF(AE234="",0,1)</f>
        <v/>
      </c>
      <c r="AE234" s="21">
        <f>IFERROR(TRIM(INDEX($A234:$X234,MATCH(Lists!$F$2,$A$1:$X$1,0))&amp;""),"")</f>
        <v/>
      </c>
      <c r="AF234" s="21">
        <f>IF(AE234="","",IFERROR(TRIM(INDEX($A234:$X234,MATCH(Lists!$F$3,$A$1:$X$1,0))&amp;""),""))</f>
        <v/>
      </c>
      <c r="AG234" s="21">
        <f>IF(AE234="","",IFERROR(TRIM(INDEX($A234:$X234,MATCH(Lists!$F$4,$A$1:$X$1,0))&amp;""),""))</f>
        <v/>
      </c>
      <c r="AH234" s="21">
        <f>IF(AE234="","",LOWER(IFERROR(TRIM(INDEX($A234:$X234,MATCH(Lists!$F$5,$A$1:$X$1,0))&amp;""),"")))</f>
        <v/>
      </c>
      <c r="AI234" s="21">
        <f>IF(AE234="","",IFERROR(TRIM(INDEX($A234:$X234,MATCH(Lists!$F$6,$A$1:$X$1,0))&amp;""),""))</f>
        <v/>
      </c>
      <c r="AJ234" s="21">
        <f>IF(AE234="","",IF(LEFT(IFERROR(TRIM(INDEX($A234:$X234,MATCH(Lists!$F$7,$A$1:$X$1,0))&amp;""),""),3)="Yes","Yes","No"))</f>
        <v/>
      </c>
      <c r="AK234" s="21">
        <f>IF(AE234="","",IFERROR(TRIM(INDEX($A234:$X234,MATCH(Lists!$F$8,$A$1:$X$1,0))&amp;""),""))</f>
        <v/>
      </c>
      <c r="AL234" s="21">
        <f>IF(AE234="","",IFERROR(IF(TRIM(INDEX($A234:$X234,MATCH(Lists!$F$9,$A$1:$X$1,0))&amp;"")="","",VALUE(TRIM(INDEX($A234:$X234,MATCH(Lists!$F$9,$A$1:$X$1,0))&amp;""))),""))</f>
        <v/>
      </c>
      <c r="AM234" s="21">
        <f>IF(AE234="","",IFERROR(TRIM(INDEX($A234:$X234,MATCH(Lists!$F$10,$A$1:$X$1,0))&amp;""),""))</f>
        <v/>
      </c>
      <c r="AN234" s="21">
        <f>IF(AE234="","",IF(OR(AM234="Paid",AM234="Partially refunded"),"Paid",IF(Z234="Yes","Paid (by hand)",IF(AM234&lt;&gt;"",AM234,"Unpaid"))))</f>
        <v/>
      </c>
      <c r="AO234" s="21">
        <f>IF(AD234=1,COUNTIFS($AE$2:$AE$301,"&lt;"&amp;AE234,$AD$2:$AD$301,1)+COUNTIF($AE$2:AE234,AE234),"")</f>
        <v/>
      </c>
    </row>
    <row r="235">
      <c r="Y235" s="19" t="n"/>
      <c r="Z235" s="22" t="n"/>
      <c r="AA235" s="22" t="n"/>
      <c r="AB235" s="22" t="n"/>
      <c r="AC235" s="19" t="n"/>
      <c r="AD235" s="21">
        <f>IF(AE235="",0,1)</f>
        <v/>
      </c>
      <c r="AE235" s="21">
        <f>IFERROR(TRIM(INDEX($A235:$X235,MATCH(Lists!$F$2,$A$1:$X$1,0))&amp;""),"")</f>
        <v/>
      </c>
      <c r="AF235" s="21">
        <f>IF(AE235="","",IFERROR(TRIM(INDEX($A235:$X235,MATCH(Lists!$F$3,$A$1:$X$1,0))&amp;""),""))</f>
        <v/>
      </c>
      <c r="AG235" s="21">
        <f>IF(AE235="","",IFERROR(TRIM(INDEX($A235:$X235,MATCH(Lists!$F$4,$A$1:$X$1,0))&amp;""),""))</f>
        <v/>
      </c>
      <c r="AH235" s="21">
        <f>IF(AE235="","",LOWER(IFERROR(TRIM(INDEX($A235:$X235,MATCH(Lists!$F$5,$A$1:$X$1,0))&amp;""),"")))</f>
        <v/>
      </c>
      <c r="AI235" s="21">
        <f>IF(AE235="","",IFERROR(TRIM(INDEX($A235:$X235,MATCH(Lists!$F$6,$A$1:$X$1,0))&amp;""),""))</f>
        <v/>
      </c>
      <c r="AJ235" s="21">
        <f>IF(AE235="","",IF(LEFT(IFERROR(TRIM(INDEX($A235:$X235,MATCH(Lists!$F$7,$A$1:$X$1,0))&amp;""),""),3)="Yes","Yes","No"))</f>
        <v/>
      </c>
      <c r="AK235" s="21">
        <f>IF(AE235="","",IFERROR(TRIM(INDEX($A235:$X235,MATCH(Lists!$F$8,$A$1:$X$1,0))&amp;""),""))</f>
        <v/>
      </c>
      <c r="AL235" s="21">
        <f>IF(AE235="","",IFERROR(IF(TRIM(INDEX($A235:$X235,MATCH(Lists!$F$9,$A$1:$X$1,0))&amp;"")="","",VALUE(TRIM(INDEX($A235:$X235,MATCH(Lists!$F$9,$A$1:$X$1,0))&amp;""))),""))</f>
        <v/>
      </c>
      <c r="AM235" s="21">
        <f>IF(AE235="","",IFERROR(TRIM(INDEX($A235:$X235,MATCH(Lists!$F$10,$A$1:$X$1,0))&amp;""),""))</f>
        <v/>
      </c>
      <c r="AN235" s="21">
        <f>IF(AE235="","",IF(OR(AM235="Paid",AM235="Partially refunded"),"Paid",IF(Z235="Yes","Paid (by hand)",IF(AM235&lt;&gt;"",AM235,"Unpaid"))))</f>
        <v/>
      </c>
      <c r="AO235" s="21">
        <f>IF(AD235=1,COUNTIFS($AE$2:$AE$301,"&lt;"&amp;AE235,$AD$2:$AD$301,1)+COUNTIF($AE$2:AE235,AE235),"")</f>
        <v/>
      </c>
    </row>
    <row r="236">
      <c r="Y236" s="19" t="n"/>
      <c r="Z236" s="22" t="n"/>
      <c r="AA236" s="22" t="n"/>
      <c r="AB236" s="22" t="n"/>
      <c r="AC236" s="19" t="n"/>
      <c r="AD236" s="21">
        <f>IF(AE236="",0,1)</f>
        <v/>
      </c>
      <c r="AE236" s="21">
        <f>IFERROR(TRIM(INDEX($A236:$X236,MATCH(Lists!$F$2,$A$1:$X$1,0))&amp;""),"")</f>
        <v/>
      </c>
      <c r="AF236" s="21">
        <f>IF(AE236="","",IFERROR(TRIM(INDEX($A236:$X236,MATCH(Lists!$F$3,$A$1:$X$1,0))&amp;""),""))</f>
        <v/>
      </c>
      <c r="AG236" s="21">
        <f>IF(AE236="","",IFERROR(TRIM(INDEX($A236:$X236,MATCH(Lists!$F$4,$A$1:$X$1,0))&amp;""),""))</f>
        <v/>
      </c>
      <c r="AH236" s="21">
        <f>IF(AE236="","",LOWER(IFERROR(TRIM(INDEX($A236:$X236,MATCH(Lists!$F$5,$A$1:$X$1,0))&amp;""),"")))</f>
        <v/>
      </c>
      <c r="AI236" s="21">
        <f>IF(AE236="","",IFERROR(TRIM(INDEX($A236:$X236,MATCH(Lists!$F$6,$A$1:$X$1,0))&amp;""),""))</f>
        <v/>
      </c>
      <c r="AJ236" s="21">
        <f>IF(AE236="","",IF(LEFT(IFERROR(TRIM(INDEX($A236:$X236,MATCH(Lists!$F$7,$A$1:$X$1,0))&amp;""),""),3)="Yes","Yes","No"))</f>
        <v/>
      </c>
      <c r="AK236" s="21">
        <f>IF(AE236="","",IFERROR(TRIM(INDEX($A236:$X236,MATCH(Lists!$F$8,$A$1:$X$1,0))&amp;""),""))</f>
        <v/>
      </c>
      <c r="AL236" s="21">
        <f>IF(AE236="","",IFERROR(IF(TRIM(INDEX($A236:$X236,MATCH(Lists!$F$9,$A$1:$X$1,0))&amp;"")="","",VALUE(TRIM(INDEX($A236:$X236,MATCH(Lists!$F$9,$A$1:$X$1,0))&amp;""))),""))</f>
        <v/>
      </c>
      <c r="AM236" s="21">
        <f>IF(AE236="","",IFERROR(TRIM(INDEX($A236:$X236,MATCH(Lists!$F$10,$A$1:$X$1,0))&amp;""),""))</f>
        <v/>
      </c>
      <c r="AN236" s="21">
        <f>IF(AE236="","",IF(OR(AM236="Paid",AM236="Partially refunded"),"Paid",IF(Z236="Yes","Paid (by hand)",IF(AM236&lt;&gt;"",AM236,"Unpaid"))))</f>
        <v/>
      </c>
      <c r="AO236" s="21">
        <f>IF(AD236=1,COUNTIFS($AE$2:$AE$301,"&lt;"&amp;AE236,$AD$2:$AD$301,1)+COUNTIF($AE$2:AE236,AE236),"")</f>
        <v/>
      </c>
    </row>
    <row r="237">
      <c r="Y237" s="19" t="n"/>
      <c r="Z237" s="22" t="n"/>
      <c r="AA237" s="22" t="n"/>
      <c r="AB237" s="22" t="n"/>
      <c r="AC237" s="19" t="n"/>
      <c r="AD237" s="21">
        <f>IF(AE237="",0,1)</f>
        <v/>
      </c>
      <c r="AE237" s="21">
        <f>IFERROR(TRIM(INDEX($A237:$X237,MATCH(Lists!$F$2,$A$1:$X$1,0))&amp;""),"")</f>
        <v/>
      </c>
      <c r="AF237" s="21">
        <f>IF(AE237="","",IFERROR(TRIM(INDEX($A237:$X237,MATCH(Lists!$F$3,$A$1:$X$1,0))&amp;""),""))</f>
        <v/>
      </c>
      <c r="AG237" s="21">
        <f>IF(AE237="","",IFERROR(TRIM(INDEX($A237:$X237,MATCH(Lists!$F$4,$A$1:$X$1,0))&amp;""),""))</f>
        <v/>
      </c>
      <c r="AH237" s="21">
        <f>IF(AE237="","",LOWER(IFERROR(TRIM(INDEX($A237:$X237,MATCH(Lists!$F$5,$A$1:$X$1,0))&amp;""),"")))</f>
        <v/>
      </c>
      <c r="AI237" s="21">
        <f>IF(AE237="","",IFERROR(TRIM(INDEX($A237:$X237,MATCH(Lists!$F$6,$A$1:$X$1,0))&amp;""),""))</f>
        <v/>
      </c>
      <c r="AJ237" s="21">
        <f>IF(AE237="","",IF(LEFT(IFERROR(TRIM(INDEX($A237:$X237,MATCH(Lists!$F$7,$A$1:$X$1,0))&amp;""),""),3)="Yes","Yes","No"))</f>
        <v/>
      </c>
      <c r="AK237" s="21">
        <f>IF(AE237="","",IFERROR(TRIM(INDEX($A237:$X237,MATCH(Lists!$F$8,$A$1:$X$1,0))&amp;""),""))</f>
        <v/>
      </c>
      <c r="AL237" s="21">
        <f>IF(AE237="","",IFERROR(IF(TRIM(INDEX($A237:$X237,MATCH(Lists!$F$9,$A$1:$X$1,0))&amp;"")="","",VALUE(TRIM(INDEX($A237:$X237,MATCH(Lists!$F$9,$A$1:$X$1,0))&amp;""))),""))</f>
        <v/>
      </c>
      <c r="AM237" s="21">
        <f>IF(AE237="","",IFERROR(TRIM(INDEX($A237:$X237,MATCH(Lists!$F$10,$A$1:$X$1,0))&amp;""),""))</f>
        <v/>
      </c>
      <c r="AN237" s="21">
        <f>IF(AE237="","",IF(OR(AM237="Paid",AM237="Partially refunded"),"Paid",IF(Z237="Yes","Paid (by hand)",IF(AM237&lt;&gt;"",AM237,"Unpaid"))))</f>
        <v/>
      </c>
      <c r="AO237" s="21">
        <f>IF(AD237=1,COUNTIFS($AE$2:$AE$301,"&lt;"&amp;AE237,$AD$2:$AD$301,1)+COUNTIF($AE$2:AE237,AE237),"")</f>
        <v/>
      </c>
    </row>
    <row r="238">
      <c r="Y238" s="19" t="n"/>
      <c r="Z238" s="22" t="n"/>
      <c r="AA238" s="22" t="n"/>
      <c r="AB238" s="22" t="n"/>
      <c r="AC238" s="19" t="n"/>
      <c r="AD238" s="21">
        <f>IF(AE238="",0,1)</f>
        <v/>
      </c>
      <c r="AE238" s="21">
        <f>IFERROR(TRIM(INDEX($A238:$X238,MATCH(Lists!$F$2,$A$1:$X$1,0))&amp;""),"")</f>
        <v/>
      </c>
      <c r="AF238" s="21">
        <f>IF(AE238="","",IFERROR(TRIM(INDEX($A238:$X238,MATCH(Lists!$F$3,$A$1:$X$1,0))&amp;""),""))</f>
        <v/>
      </c>
      <c r="AG238" s="21">
        <f>IF(AE238="","",IFERROR(TRIM(INDEX($A238:$X238,MATCH(Lists!$F$4,$A$1:$X$1,0))&amp;""),""))</f>
        <v/>
      </c>
      <c r="AH238" s="21">
        <f>IF(AE238="","",LOWER(IFERROR(TRIM(INDEX($A238:$X238,MATCH(Lists!$F$5,$A$1:$X$1,0))&amp;""),"")))</f>
        <v/>
      </c>
      <c r="AI238" s="21">
        <f>IF(AE238="","",IFERROR(TRIM(INDEX($A238:$X238,MATCH(Lists!$F$6,$A$1:$X$1,0))&amp;""),""))</f>
        <v/>
      </c>
      <c r="AJ238" s="21">
        <f>IF(AE238="","",IF(LEFT(IFERROR(TRIM(INDEX($A238:$X238,MATCH(Lists!$F$7,$A$1:$X$1,0))&amp;""),""),3)="Yes","Yes","No"))</f>
        <v/>
      </c>
      <c r="AK238" s="21">
        <f>IF(AE238="","",IFERROR(TRIM(INDEX($A238:$X238,MATCH(Lists!$F$8,$A$1:$X$1,0))&amp;""),""))</f>
        <v/>
      </c>
      <c r="AL238" s="21">
        <f>IF(AE238="","",IFERROR(IF(TRIM(INDEX($A238:$X238,MATCH(Lists!$F$9,$A$1:$X$1,0))&amp;"")="","",VALUE(TRIM(INDEX($A238:$X238,MATCH(Lists!$F$9,$A$1:$X$1,0))&amp;""))),""))</f>
        <v/>
      </c>
      <c r="AM238" s="21">
        <f>IF(AE238="","",IFERROR(TRIM(INDEX($A238:$X238,MATCH(Lists!$F$10,$A$1:$X$1,0))&amp;""),""))</f>
        <v/>
      </c>
      <c r="AN238" s="21">
        <f>IF(AE238="","",IF(OR(AM238="Paid",AM238="Partially refunded"),"Paid",IF(Z238="Yes","Paid (by hand)",IF(AM238&lt;&gt;"",AM238,"Unpaid"))))</f>
        <v/>
      </c>
      <c r="AO238" s="21">
        <f>IF(AD238=1,COUNTIFS($AE$2:$AE$301,"&lt;"&amp;AE238,$AD$2:$AD$301,1)+COUNTIF($AE$2:AE238,AE238),"")</f>
        <v/>
      </c>
    </row>
    <row r="239">
      <c r="Y239" s="19" t="n"/>
      <c r="Z239" s="22" t="n"/>
      <c r="AA239" s="22" t="n"/>
      <c r="AB239" s="22" t="n"/>
      <c r="AC239" s="19" t="n"/>
      <c r="AD239" s="21">
        <f>IF(AE239="",0,1)</f>
        <v/>
      </c>
      <c r="AE239" s="21">
        <f>IFERROR(TRIM(INDEX($A239:$X239,MATCH(Lists!$F$2,$A$1:$X$1,0))&amp;""),"")</f>
        <v/>
      </c>
      <c r="AF239" s="21">
        <f>IF(AE239="","",IFERROR(TRIM(INDEX($A239:$X239,MATCH(Lists!$F$3,$A$1:$X$1,0))&amp;""),""))</f>
        <v/>
      </c>
      <c r="AG239" s="21">
        <f>IF(AE239="","",IFERROR(TRIM(INDEX($A239:$X239,MATCH(Lists!$F$4,$A$1:$X$1,0))&amp;""),""))</f>
        <v/>
      </c>
      <c r="AH239" s="21">
        <f>IF(AE239="","",LOWER(IFERROR(TRIM(INDEX($A239:$X239,MATCH(Lists!$F$5,$A$1:$X$1,0))&amp;""),"")))</f>
        <v/>
      </c>
      <c r="AI239" s="21">
        <f>IF(AE239="","",IFERROR(TRIM(INDEX($A239:$X239,MATCH(Lists!$F$6,$A$1:$X$1,0))&amp;""),""))</f>
        <v/>
      </c>
      <c r="AJ239" s="21">
        <f>IF(AE239="","",IF(LEFT(IFERROR(TRIM(INDEX($A239:$X239,MATCH(Lists!$F$7,$A$1:$X$1,0))&amp;""),""),3)="Yes","Yes","No"))</f>
        <v/>
      </c>
      <c r="AK239" s="21">
        <f>IF(AE239="","",IFERROR(TRIM(INDEX($A239:$X239,MATCH(Lists!$F$8,$A$1:$X$1,0))&amp;""),""))</f>
        <v/>
      </c>
      <c r="AL239" s="21">
        <f>IF(AE239="","",IFERROR(IF(TRIM(INDEX($A239:$X239,MATCH(Lists!$F$9,$A$1:$X$1,0))&amp;"")="","",VALUE(TRIM(INDEX($A239:$X239,MATCH(Lists!$F$9,$A$1:$X$1,0))&amp;""))),""))</f>
        <v/>
      </c>
      <c r="AM239" s="21">
        <f>IF(AE239="","",IFERROR(TRIM(INDEX($A239:$X239,MATCH(Lists!$F$10,$A$1:$X$1,0))&amp;""),""))</f>
        <v/>
      </c>
      <c r="AN239" s="21">
        <f>IF(AE239="","",IF(OR(AM239="Paid",AM239="Partially refunded"),"Paid",IF(Z239="Yes","Paid (by hand)",IF(AM239&lt;&gt;"",AM239,"Unpaid"))))</f>
        <v/>
      </c>
      <c r="AO239" s="21">
        <f>IF(AD239=1,COUNTIFS($AE$2:$AE$301,"&lt;"&amp;AE239,$AD$2:$AD$301,1)+COUNTIF($AE$2:AE239,AE239),"")</f>
        <v/>
      </c>
    </row>
    <row r="240">
      <c r="Y240" s="19" t="n"/>
      <c r="Z240" s="22" t="n"/>
      <c r="AA240" s="22" t="n"/>
      <c r="AB240" s="22" t="n"/>
      <c r="AC240" s="19" t="n"/>
      <c r="AD240" s="21">
        <f>IF(AE240="",0,1)</f>
        <v/>
      </c>
      <c r="AE240" s="21">
        <f>IFERROR(TRIM(INDEX($A240:$X240,MATCH(Lists!$F$2,$A$1:$X$1,0))&amp;""),"")</f>
        <v/>
      </c>
      <c r="AF240" s="21">
        <f>IF(AE240="","",IFERROR(TRIM(INDEX($A240:$X240,MATCH(Lists!$F$3,$A$1:$X$1,0))&amp;""),""))</f>
        <v/>
      </c>
      <c r="AG240" s="21">
        <f>IF(AE240="","",IFERROR(TRIM(INDEX($A240:$X240,MATCH(Lists!$F$4,$A$1:$X$1,0))&amp;""),""))</f>
        <v/>
      </c>
      <c r="AH240" s="21">
        <f>IF(AE240="","",LOWER(IFERROR(TRIM(INDEX($A240:$X240,MATCH(Lists!$F$5,$A$1:$X$1,0))&amp;""),"")))</f>
        <v/>
      </c>
      <c r="AI240" s="21">
        <f>IF(AE240="","",IFERROR(TRIM(INDEX($A240:$X240,MATCH(Lists!$F$6,$A$1:$X$1,0))&amp;""),""))</f>
        <v/>
      </c>
      <c r="AJ240" s="21">
        <f>IF(AE240="","",IF(LEFT(IFERROR(TRIM(INDEX($A240:$X240,MATCH(Lists!$F$7,$A$1:$X$1,0))&amp;""),""),3)="Yes","Yes","No"))</f>
        <v/>
      </c>
      <c r="AK240" s="21">
        <f>IF(AE240="","",IFERROR(TRIM(INDEX($A240:$X240,MATCH(Lists!$F$8,$A$1:$X$1,0))&amp;""),""))</f>
        <v/>
      </c>
      <c r="AL240" s="21">
        <f>IF(AE240="","",IFERROR(IF(TRIM(INDEX($A240:$X240,MATCH(Lists!$F$9,$A$1:$X$1,0))&amp;"")="","",VALUE(TRIM(INDEX($A240:$X240,MATCH(Lists!$F$9,$A$1:$X$1,0))&amp;""))),""))</f>
        <v/>
      </c>
      <c r="AM240" s="21">
        <f>IF(AE240="","",IFERROR(TRIM(INDEX($A240:$X240,MATCH(Lists!$F$10,$A$1:$X$1,0))&amp;""),""))</f>
        <v/>
      </c>
      <c r="AN240" s="21">
        <f>IF(AE240="","",IF(OR(AM240="Paid",AM240="Partially refunded"),"Paid",IF(Z240="Yes","Paid (by hand)",IF(AM240&lt;&gt;"",AM240,"Unpaid"))))</f>
        <v/>
      </c>
      <c r="AO240" s="21">
        <f>IF(AD240=1,COUNTIFS($AE$2:$AE$301,"&lt;"&amp;AE240,$AD$2:$AD$301,1)+COUNTIF($AE$2:AE240,AE240),"")</f>
        <v/>
      </c>
    </row>
    <row r="241">
      <c r="Y241" s="19" t="n"/>
      <c r="Z241" s="22" t="n"/>
      <c r="AA241" s="22" t="n"/>
      <c r="AB241" s="22" t="n"/>
      <c r="AC241" s="19" t="n"/>
      <c r="AD241" s="21">
        <f>IF(AE241="",0,1)</f>
        <v/>
      </c>
      <c r="AE241" s="21">
        <f>IFERROR(TRIM(INDEX($A241:$X241,MATCH(Lists!$F$2,$A$1:$X$1,0))&amp;""),"")</f>
        <v/>
      </c>
      <c r="AF241" s="21">
        <f>IF(AE241="","",IFERROR(TRIM(INDEX($A241:$X241,MATCH(Lists!$F$3,$A$1:$X$1,0))&amp;""),""))</f>
        <v/>
      </c>
      <c r="AG241" s="21">
        <f>IF(AE241="","",IFERROR(TRIM(INDEX($A241:$X241,MATCH(Lists!$F$4,$A$1:$X$1,0))&amp;""),""))</f>
        <v/>
      </c>
      <c r="AH241" s="21">
        <f>IF(AE241="","",LOWER(IFERROR(TRIM(INDEX($A241:$X241,MATCH(Lists!$F$5,$A$1:$X$1,0))&amp;""),"")))</f>
        <v/>
      </c>
      <c r="AI241" s="21">
        <f>IF(AE241="","",IFERROR(TRIM(INDEX($A241:$X241,MATCH(Lists!$F$6,$A$1:$X$1,0))&amp;""),""))</f>
        <v/>
      </c>
      <c r="AJ241" s="21">
        <f>IF(AE241="","",IF(LEFT(IFERROR(TRIM(INDEX($A241:$X241,MATCH(Lists!$F$7,$A$1:$X$1,0))&amp;""),""),3)="Yes","Yes","No"))</f>
        <v/>
      </c>
      <c r="AK241" s="21">
        <f>IF(AE241="","",IFERROR(TRIM(INDEX($A241:$X241,MATCH(Lists!$F$8,$A$1:$X$1,0))&amp;""),""))</f>
        <v/>
      </c>
      <c r="AL241" s="21">
        <f>IF(AE241="","",IFERROR(IF(TRIM(INDEX($A241:$X241,MATCH(Lists!$F$9,$A$1:$X$1,0))&amp;"")="","",VALUE(TRIM(INDEX($A241:$X241,MATCH(Lists!$F$9,$A$1:$X$1,0))&amp;""))),""))</f>
        <v/>
      </c>
      <c r="AM241" s="21">
        <f>IF(AE241="","",IFERROR(TRIM(INDEX($A241:$X241,MATCH(Lists!$F$10,$A$1:$X$1,0))&amp;""),""))</f>
        <v/>
      </c>
      <c r="AN241" s="21">
        <f>IF(AE241="","",IF(OR(AM241="Paid",AM241="Partially refunded"),"Paid",IF(Z241="Yes","Paid (by hand)",IF(AM241&lt;&gt;"",AM241,"Unpaid"))))</f>
        <v/>
      </c>
      <c r="AO241" s="21">
        <f>IF(AD241=1,COUNTIFS($AE$2:$AE$301,"&lt;"&amp;AE241,$AD$2:$AD$301,1)+COUNTIF($AE$2:AE241,AE241),"")</f>
        <v/>
      </c>
    </row>
    <row r="242">
      <c r="Y242" s="19" t="n"/>
      <c r="Z242" s="22" t="n"/>
      <c r="AA242" s="22" t="n"/>
      <c r="AB242" s="22" t="n"/>
      <c r="AC242" s="19" t="n"/>
      <c r="AD242" s="21">
        <f>IF(AE242="",0,1)</f>
        <v/>
      </c>
      <c r="AE242" s="21">
        <f>IFERROR(TRIM(INDEX($A242:$X242,MATCH(Lists!$F$2,$A$1:$X$1,0))&amp;""),"")</f>
        <v/>
      </c>
      <c r="AF242" s="21">
        <f>IF(AE242="","",IFERROR(TRIM(INDEX($A242:$X242,MATCH(Lists!$F$3,$A$1:$X$1,0))&amp;""),""))</f>
        <v/>
      </c>
      <c r="AG242" s="21">
        <f>IF(AE242="","",IFERROR(TRIM(INDEX($A242:$X242,MATCH(Lists!$F$4,$A$1:$X$1,0))&amp;""),""))</f>
        <v/>
      </c>
      <c r="AH242" s="21">
        <f>IF(AE242="","",LOWER(IFERROR(TRIM(INDEX($A242:$X242,MATCH(Lists!$F$5,$A$1:$X$1,0))&amp;""),"")))</f>
        <v/>
      </c>
      <c r="AI242" s="21">
        <f>IF(AE242="","",IFERROR(TRIM(INDEX($A242:$X242,MATCH(Lists!$F$6,$A$1:$X$1,0))&amp;""),""))</f>
        <v/>
      </c>
      <c r="AJ242" s="21">
        <f>IF(AE242="","",IF(LEFT(IFERROR(TRIM(INDEX($A242:$X242,MATCH(Lists!$F$7,$A$1:$X$1,0))&amp;""),""),3)="Yes","Yes","No"))</f>
        <v/>
      </c>
      <c r="AK242" s="21">
        <f>IF(AE242="","",IFERROR(TRIM(INDEX($A242:$X242,MATCH(Lists!$F$8,$A$1:$X$1,0))&amp;""),""))</f>
        <v/>
      </c>
      <c r="AL242" s="21">
        <f>IF(AE242="","",IFERROR(IF(TRIM(INDEX($A242:$X242,MATCH(Lists!$F$9,$A$1:$X$1,0))&amp;"")="","",VALUE(TRIM(INDEX($A242:$X242,MATCH(Lists!$F$9,$A$1:$X$1,0))&amp;""))),""))</f>
        <v/>
      </c>
      <c r="AM242" s="21">
        <f>IF(AE242="","",IFERROR(TRIM(INDEX($A242:$X242,MATCH(Lists!$F$10,$A$1:$X$1,0))&amp;""),""))</f>
        <v/>
      </c>
      <c r="AN242" s="21">
        <f>IF(AE242="","",IF(OR(AM242="Paid",AM242="Partially refunded"),"Paid",IF(Z242="Yes","Paid (by hand)",IF(AM242&lt;&gt;"",AM242,"Unpaid"))))</f>
        <v/>
      </c>
      <c r="AO242" s="21">
        <f>IF(AD242=1,COUNTIFS($AE$2:$AE$301,"&lt;"&amp;AE242,$AD$2:$AD$301,1)+COUNTIF($AE$2:AE242,AE242),"")</f>
        <v/>
      </c>
    </row>
    <row r="243">
      <c r="Y243" s="19" t="n"/>
      <c r="Z243" s="22" t="n"/>
      <c r="AA243" s="22" t="n"/>
      <c r="AB243" s="22" t="n"/>
      <c r="AC243" s="19" t="n"/>
      <c r="AD243" s="21">
        <f>IF(AE243="",0,1)</f>
        <v/>
      </c>
      <c r="AE243" s="21">
        <f>IFERROR(TRIM(INDEX($A243:$X243,MATCH(Lists!$F$2,$A$1:$X$1,0))&amp;""),"")</f>
        <v/>
      </c>
      <c r="AF243" s="21">
        <f>IF(AE243="","",IFERROR(TRIM(INDEX($A243:$X243,MATCH(Lists!$F$3,$A$1:$X$1,0))&amp;""),""))</f>
        <v/>
      </c>
      <c r="AG243" s="21">
        <f>IF(AE243="","",IFERROR(TRIM(INDEX($A243:$X243,MATCH(Lists!$F$4,$A$1:$X$1,0))&amp;""),""))</f>
        <v/>
      </c>
      <c r="AH243" s="21">
        <f>IF(AE243="","",LOWER(IFERROR(TRIM(INDEX($A243:$X243,MATCH(Lists!$F$5,$A$1:$X$1,0))&amp;""),"")))</f>
        <v/>
      </c>
      <c r="AI243" s="21">
        <f>IF(AE243="","",IFERROR(TRIM(INDEX($A243:$X243,MATCH(Lists!$F$6,$A$1:$X$1,0))&amp;""),""))</f>
        <v/>
      </c>
      <c r="AJ243" s="21">
        <f>IF(AE243="","",IF(LEFT(IFERROR(TRIM(INDEX($A243:$X243,MATCH(Lists!$F$7,$A$1:$X$1,0))&amp;""),""),3)="Yes","Yes","No"))</f>
        <v/>
      </c>
      <c r="AK243" s="21">
        <f>IF(AE243="","",IFERROR(TRIM(INDEX($A243:$X243,MATCH(Lists!$F$8,$A$1:$X$1,0))&amp;""),""))</f>
        <v/>
      </c>
      <c r="AL243" s="21">
        <f>IF(AE243="","",IFERROR(IF(TRIM(INDEX($A243:$X243,MATCH(Lists!$F$9,$A$1:$X$1,0))&amp;"")="","",VALUE(TRIM(INDEX($A243:$X243,MATCH(Lists!$F$9,$A$1:$X$1,0))&amp;""))),""))</f>
        <v/>
      </c>
      <c r="AM243" s="21">
        <f>IF(AE243="","",IFERROR(TRIM(INDEX($A243:$X243,MATCH(Lists!$F$10,$A$1:$X$1,0))&amp;""),""))</f>
        <v/>
      </c>
      <c r="AN243" s="21">
        <f>IF(AE243="","",IF(OR(AM243="Paid",AM243="Partially refunded"),"Paid",IF(Z243="Yes","Paid (by hand)",IF(AM243&lt;&gt;"",AM243,"Unpaid"))))</f>
        <v/>
      </c>
      <c r="AO243" s="21">
        <f>IF(AD243=1,COUNTIFS($AE$2:$AE$301,"&lt;"&amp;AE243,$AD$2:$AD$301,1)+COUNTIF($AE$2:AE243,AE243),"")</f>
        <v/>
      </c>
    </row>
    <row r="244">
      <c r="Y244" s="19" t="n"/>
      <c r="Z244" s="22" t="n"/>
      <c r="AA244" s="22" t="n"/>
      <c r="AB244" s="22" t="n"/>
      <c r="AC244" s="19" t="n"/>
      <c r="AD244" s="21">
        <f>IF(AE244="",0,1)</f>
        <v/>
      </c>
      <c r="AE244" s="21">
        <f>IFERROR(TRIM(INDEX($A244:$X244,MATCH(Lists!$F$2,$A$1:$X$1,0))&amp;""),"")</f>
        <v/>
      </c>
      <c r="AF244" s="21">
        <f>IF(AE244="","",IFERROR(TRIM(INDEX($A244:$X244,MATCH(Lists!$F$3,$A$1:$X$1,0))&amp;""),""))</f>
        <v/>
      </c>
      <c r="AG244" s="21">
        <f>IF(AE244="","",IFERROR(TRIM(INDEX($A244:$X244,MATCH(Lists!$F$4,$A$1:$X$1,0))&amp;""),""))</f>
        <v/>
      </c>
      <c r="AH244" s="21">
        <f>IF(AE244="","",LOWER(IFERROR(TRIM(INDEX($A244:$X244,MATCH(Lists!$F$5,$A$1:$X$1,0))&amp;""),"")))</f>
        <v/>
      </c>
      <c r="AI244" s="21">
        <f>IF(AE244="","",IFERROR(TRIM(INDEX($A244:$X244,MATCH(Lists!$F$6,$A$1:$X$1,0))&amp;""),""))</f>
        <v/>
      </c>
      <c r="AJ244" s="21">
        <f>IF(AE244="","",IF(LEFT(IFERROR(TRIM(INDEX($A244:$X244,MATCH(Lists!$F$7,$A$1:$X$1,0))&amp;""),""),3)="Yes","Yes","No"))</f>
        <v/>
      </c>
      <c r="AK244" s="21">
        <f>IF(AE244="","",IFERROR(TRIM(INDEX($A244:$X244,MATCH(Lists!$F$8,$A$1:$X$1,0))&amp;""),""))</f>
        <v/>
      </c>
      <c r="AL244" s="21">
        <f>IF(AE244="","",IFERROR(IF(TRIM(INDEX($A244:$X244,MATCH(Lists!$F$9,$A$1:$X$1,0))&amp;"")="","",VALUE(TRIM(INDEX($A244:$X244,MATCH(Lists!$F$9,$A$1:$X$1,0))&amp;""))),""))</f>
        <v/>
      </c>
      <c r="AM244" s="21">
        <f>IF(AE244="","",IFERROR(TRIM(INDEX($A244:$X244,MATCH(Lists!$F$10,$A$1:$X$1,0))&amp;""),""))</f>
        <v/>
      </c>
      <c r="AN244" s="21">
        <f>IF(AE244="","",IF(OR(AM244="Paid",AM244="Partially refunded"),"Paid",IF(Z244="Yes","Paid (by hand)",IF(AM244&lt;&gt;"",AM244,"Unpaid"))))</f>
        <v/>
      </c>
      <c r="AO244" s="21">
        <f>IF(AD244=1,COUNTIFS($AE$2:$AE$301,"&lt;"&amp;AE244,$AD$2:$AD$301,1)+COUNTIF($AE$2:AE244,AE244),"")</f>
        <v/>
      </c>
    </row>
    <row r="245">
      <c r="Y245" s="19" t="n"/>
      <c r="Z245" s="22" t="n"/>
      <c r="AA245" s="22" t="n"/>
      <c r="AB245" s="22" t="n"/>
      <c r="AC245" s="19" t="n"/>
      <c r="AD245" s="21">
        <f>IF(AE245="",0,1)</f>
        <v/>
      </c>
      <c r="AE245" s="21">
        <f>IFERROR(TRIM(INDEX($A245:$X245,MATCH(Lists!$F$2,$A$1:$X$1,0))&amp;""),"")</f>
        <v/>
      </c>
      <c r="AF245" s="21">
        <f>IF(AE245="","",IFERROR(TRIM(INDEX($A245:$X245,MATCH(Lists!$F$3,$A$1:$X$1,0))&amp;""),""))</f>
        <v/>
      </c>
      <c r="AG245" s="21">
        <f>IF(AE245="","",IFERROR(TRIM(INDEX($A245:$X245,MATCH(Lists!$F$4,$A$1:$X$1,0))&amp;""),""))</f>
        <v/>
      </c>
      <c r="AH245" s="21">
        <f>IF(AE245="","",LOWER(IFERROR(TRIM(INDEX($A245:$X245,MATCH(Lists!$F$5,$A$1:$X$1,0))&amp;""),"")))</f>
        <v/>
      </c>
      <c r="AI245" s="21">
        <f>IF(AE245="","",IFERROR(TRIM(INDEX($A245:$X245,MATCH(Lists!$F$6,$A$1:$X$1,0))&amp;""),""))</f>
        <v/>
      </c>
      <c r="AJ245" s="21">
        <f>IF(AE245="","",IF(LEFT(IFERROR(TRIM(INDEX($A245:$X245,MATCH(Lists!$F$7,$A$1:$X$1,0))&amp;""),""),3)="Yes","Yes","No"))</f>
        <v/>
      </c>
      <c r="AK245" s="21">
        <f>IF(AE245="","",IFERROR(TRIM(INDEX($A245:$X245,MATCH(Lists!$F$8,$A$1:$X$1,0))&amp;""),""))</f>
        <v/>
      </c>
      <c r="AL245" s="21">
        <f>IF(AE245="","",IFERROR(IF(TRIM(INDEX($A245:$X245,MATCH(Lists!$F$9,$A$1:$X$1,0))&amp;"")="","",VALUE(TRIM(INDEX($A245:$X245,MATCH(Lists!$F$9,$A$1:$X$1,0))&amp;""))),""))</f>
        <v/>
      </c>
      <c r="AM245" s="21">
        <f>IF(AE245="","",IFERROR(TRIM(INDEX($A245:$X245,MATCH(Lists!$F$10,$A$1:$X$1,0))&amp;""),""))</f>
        <v/>
      </c>
      <c r="AN245" s="21">
        <f>IF(AE245="","",IF(OR(AM245="Paid",AM245="Partially refunded"),"Paid",IF(Z245="Yes","Paid (by hand)",IF(AM245&lt;&gt;"",AM245,"Unpaid"))))</f>
        <v/>
      </c>
      <c r="AO245" s="21">
        <f>IF(AD245=1,COUNTIFS($AE$2:$AE$301,"&lt;"&amp;AE245,$AD$2:$AD$301,1)+COUNTIF($AE$2:AE245,AE245),"")</f>
        <v/>
      </c>
    </row>
    <row r="246">
      <c r="Y246" s="19" t="n"/>
      <c r="Z246" s="22" t="n"/>
      <c r="AA246" s="22" t="n"/>
      <c r="AB246" s="22" t="n"/>
      <c r="AC246" s="19" t="n"/>
      <c r="AD246" s="21">
        <f>IF(AE246="",0,1)</f>
        <v/>
      </c>
      <c r="AE246" s="21">
        <f>IFERROR(TRIM(INDEX($A246:$X246,MATCH(Lists!$F$2,$A$1:$X$1,0))&amp;""),"")</f>
        <v/>
      </c>
      <c r="AF246" s="21">
        <f>IF(AE246="","",IFERROR(TRIM(INDEX($A246:$X246,MATCH(Lists!$F$3,$A$1:$X$1,0))&amp;""),""))</f>
        <v/>
      </c>
      <c r="AG246" s="21">
        <f>IF(AE246="","",IFERROR(TRIM(INDEX($A246:$X246,MATCH(Lists!$F$4,$A$1:$X$1,0))&amp;""),""))</f>
        <v/>
      </c>
      <c r="AH246" s="21">
        <f>IF(AE246="","",LOWER(IFERROR(TRIM(INDEX($A246:$X246,MATCH(Lists!$F$5,$A$1:$X$1,0))&amp;""),"")))</f>
        <v/>
      </c>
      <c r="AI246" s="21">
        <f>IF(AE246="","",IFERROR(TRIM(INDEX($A246:$X246,MATCH(Lists!$F$6,$A$1:$X$1,0))&amp;""),""))</f>
        <v/>
      </c>
      <c r="AJ246" s="21">
        <f>IF(AE246="","",IF(LEFT(IFERROR(TRIM(INDEX($A246:$X246,MATCH(Lists!$F$7,$A$1:$X$1,0))&amp;""),""),3)="Yes","Yes","No"))</f>
        <v/>
      </c>
      <c r="AK246" s="21">
        <f>IF(AE246="","",IFERROR(TRIM(INDEX($A246:$X246,MATCH(Lists!$F$8,$A$1:$X$1,0))&amp;""),""))</f>
        <v/>
      </c>
      <c r="AL246" s="21">
        <f>IF(AE246="","",IFERROR(IF(TRIM(INDEX($A246:$X246,MATCH(Lists!$F$9,$A$1:$X$1,0))&amp;"")="","",VALUE(TRIM(INDEX($A246:$X246,MATCH(Lists!$F$9,$A$1:$X$1,0))&amp;""))),""))</f>
        <v/>
      </c>
      <c r="AM246" s="21">
        <f>IF(AE246="","",IFERROR(TRIM(INDEX($A246:$X246,MATCH(Lists!$F$10,$A$1:$X$1,0))&amp;""),""))</f>
        <v/>
      </c>
      <c r="AN246" s="21">
        <f>IF(AE246="","",IF(OR(AM246="Paid",AM246="Partially refunded"),"Paid",IF(Z246="Yes","Paid (by hand)",IF(AM246&lt;&gt;"",AM246,"Unpaid"))))</f>
        <v/>
      </c>
      <c r="AO246" s="21">
        <f>IF(AD246=1,COUNTIFS($AE$2:$AE$301,"&lt;"&amp;AE246,$AD$2:$AD$301,1)+COUNTIF($AE$2:AE246,AE246),"")</f>
        <v/>
      </c>
    </row>
    <row r="247">
      <c r="Y247" s="19" t="n"/>
      <c r="Z247" s="22" t="n"/>
      <c r="AA247" s="22" t="n"/>
      <c r="AB247" s="22" t="n"/>
      <c r="AC247" s="19" t="n"/>
      <c r="AD247" s="21">
        <f>IF(AE247="",0,1)</f>
        <v/>
      </c>
      <c r="AE247" s="21">
        <f>IFERROR(TRIM(INDEX($A247:$X247,MATCH(Lists!$F$2,$A$1:$X$1,0))&amp;""),"")</f>
        <v/>
      </c>
      <c r="AF247" s="21">
        <f>IF(AE247="","",IFERROR(TRIM(INDEX($A247:$X247,MATCH(Lists!$F$3,$A$1:$X$1,0))&amp;""),""))</f>
        <v/>
      </c>
      <c r="AG247" s="21">
        <f>IF(AE247="","",IFERROR(TRIM(INDEX($A247:$X247,MATCH(Lists!$F$4,$A$1:$X$1,0))&amp;""),""))</f>
        <v/>
      </c>
      <c r="AH247" s="21">
        <f>IF(AE247="","",LOWER(IFERROR(TRIM(INDEX($A247:$X247,MATCH(Lists!$F$5,$A$1:$X$1,0))&amp;""),"")))</f>
        <v/>
      </c>
      <c r="AI247" s="21">
        <f>IF(AE247="","",IFERROR(TRIM(INDEX($A247:$X247,MATCH(Lists!$F$6,$A$1:$X$1,0))&amp;""),""))</f>
        <v/>
      </c>
      <c r="AJ247" s="21">
        <f>IF(AE247="","",IF(LEFT(IFERROR(TRIM(INDEX($A247:$X247,MATCH(Lists!$F$7,$A$1:$X$1,0))&amp;""),""),3)="Yes","Yes","No"))</f>
        <v/>
      </c>
      <c r="AK247" s="21">
        <f>IF(AE247="","",IFERROR(TRIM(INDEX($A247:$X247,MATCH(Lists!$F$8,$A$1:$X$1,0))&amp;""),""))</f>
        <v/>
      </c>
      <c r="AL247" s="21">
        <f>IF(AE247="","",IFERROR(IF(TRIM(INDEX($A247:$X247,MATCH(Lists!$F$9,$A$1:$X$1,0))&amp;"")="","",VALUE(TRIM(INDEX($A247:$X247,MATCH(Lists!$F$9,$A$1:$X$1,0))&amp;""))),""))</f>
        <v/>
      </c>
      <c r="AM247" s="21">
        <f>IF(AE247="","",IFERROR(TRIM(INDEX($A247:$X247,MATCH(Lists!$F$10,$A$1:$X$1,0))&amp;""),""))</f>
        <v/>
      </c>
      <c r="AN247" s="21">
        <f>IF(AE247="","",IF(OR(AM247="Paid",AM247="Partially refunded"),"Paid",IF(Z247="Yes","Paid (by hand)",IF(AM247&lt;&gt;"",AM247,"Unpaid"))))</f>
        <v/>
      </c>
      <c r="AO247" s="21">
        <f>IF(AD247=1,COUNTIFS($AE$2:$AE$301,"&lt;"&amp;AE247,$AD$2:$AD$301,1)+COUNTIF($AE$2:AE247,AE247),"")</f>
        <v/>
      </c>
    </row>
    <row r="248">
      <c r="Y248" s="19" t="n"/>
      <c r="Z248" s="22" t="n"/>
      <c r="AA248" s="22" t="n"/>
      <c r="AB248" s="22" t="n"/>
      <c r="AC248" s="19" t="n"/>
      <c r="AD248" s="21">
        <f>IF(AE248="",0,1)</f>
        <v/>
      </c>
      <c r="AE248" s="21">
        <f>IFERROR(TRIM(INDEX($A248:$X248,MATCH(Lists!$F$2,$A$1:$X$1,0))&amp;""),"")</f>
        <v/>
      </c>
      <c r="AF248" s="21">
        <f>IF(AE248="","",IFERROR(TRIM(INDEX($A248:$X248,MATCH(Lists!$F$3,$A$1:$X$1,0))&amp;""),""))</f>
        <v/>
      </c>
      <c r="AG248" s="21">
        <f>IF(AE248="","",IFERROR(TRIM(INDEX($A248:$X248,MATCH(Lists!$F$4,$A$1:$X$1,0))&amp;""),""))</f>
        <v/>
      </c>
      <c r="AH248" s="21">
        <f>IF(AE248="","",LOWER(IFERROR(TRIM(INDEX($A248:$X248,MATCH(Lists!$F$5,$A$1:$X$1,0))&amp;""),"")))</f>
        <v/>
      </c>
      <c r="AI248" s="21">
        <f>IF(AE248="","",IFERROR(TRIM(INDEX($A248:$X248,MATCH(Lists!$F$6,$A$1:$X$1,0))&amp;""),""))</f>
        <v/>
      </c>
      <c r="AJ248" s="21">
        <f>IF(AE248="","",IF(LEFT(IFERROR(TRIM(INDEX($A248:$X248,MATCH(Lists!$F$7,$A$1:$X$1,0))&amp;""),""),3)="Yes","Yes","No"))</f>
        <v/>
      </c>
      <c r="AK248" s="21">
        <f>IF(AE248="","",IFERROR(TRIM(INDEX($A248:$X248,MATCH(Lists!$F$8,$A$1:$X$1,0))&amp;""),""))</f>
        <v/>
      </c>
      <c r="AL248" s="21">
        <f>IF(AE248="","",IFERROR(IF(TRIM(INDEX($A248:$X248,MATCH(Lists!$F$9,$A$1:$X$1,0))&amp;"")="","",VALUE(TRIM(INDEX($A248:$X248,MATCH(Lists!$F$9,$A$1:$X$1,0))&amp;""))),""))</f>
        <v/>
      </c>
      <c r="AM248" s="21">
        <f>IF(AE248="","",IFERROR(TRIM(INDEX($A248:$X248,MATCH(Lists!$F$10,$A$1:$X$1,0))&amp;""),""))</f>
        <v/>
      </c>
      <c r="AN248" s="21">
        <f>IF(AE248="","",IF(OR(AM248="Paid",AM248="Partially refunded"),"Paid",IF(Z248="Yes","Paid (by hand)",IF(AM248&lt;&gt;"",AM248,"Unpaid"))))</f>
        <v/>
      </c>
      <c r="AO248" s="21">
        <f>IF(AD248=1,COUNTIFS($AE$2:$AE$301,"&lt;"&amp;AE248,$AD$2:$AD$301,1)+COUNTIF($AE$2:AE248,AE248),"")</f>
        <v/>
      </c>
    </row>
    <row r="249">
      <c r="Y249" s="19" t="n"/>
      <c r="Z249" s="22" t="n"/>
      <c r="AA249" s="22" t="n"/>
      <c r="AB249" s="22" t="n"/>
      <c r="AC249" s="19" t="n"/>
      <c r="AD249" s="21">
        <f>IF(AE249="",0,1)</f>
        <v/>
      </c>
      <c r="AE249" s="21">
        <f>IFERROR(TRIM(INDEX($A249:$X249,MATCH(Lists!$F$2,$A$1:$X$1,0))&amp;""),"")</f>
        <v/>
      </c>
      <c r="AF249" s="21">
        <f>IF(AE249="","",IFERROR(TRIM(INDEX($A249:$X249,MATCH(Lists!$F$3,$A$1:$X$1,0))&amp;""),""))</f>
        <v/>
      </c>
      <c r="AG249" s="21">
        <f>IF(AE249="","",IFERROR(TRIM(INDEX($A249:$X249,MATCH(Lists!$F$4,$A$1:$X$1,0))&amp;""),""))</f>
        <v/>
      </c>
      <c r="AH249" s="21">
        <f>IF(AE249="","",LOWER(IFERROR(TRIM(INDEX($A249:$X249,MATCH(Lists!$F$5,$A$1:$X$1,0))&amp;""),"")))</f>
        <v/>
      </c>
      <c r="AI249" s="21">
        <f>IF(AE249="","",IFERROR(TRIM(INDEX($A249:$X249,MATCH(Lists!$F$6,$A$1:$X$1,0))&amp;""),""))</f>
        <v/>
      </c>
      <c r="AJ249" s="21">
        <f>IF(AE249="","",IF(LEFT(IFERROR(TRIM(INDEX($A249:$X249,MATCH(Lists!$F$7,$A$1:$X$1,0))&amp;""),""),3)="Yes","Yes","No"))</f>
        <v/>
      </c>
      <c r="AK249" s="21">
        <f>IF(AE249="","",IFERROR(TRIM(INDEX($A249:$X249,MATCH(Lists!$F$8,$A$1:$X$1,0))&amp;""),""))</f>
        <v/>
      </c>
      <c r="AL249" s="21">
        <f>IF(AE249="","",IFERROR(IF(TRIM(INDEX($A249:$X249,MATCH(Lists!$F$9,$A$1:$X$1,0))&amp;"")="","",VALUE(TRIM(INDEX($A249:$X249,MATCH(Lists!$F$9,$A$1:$X$1,0))&amp;""))),""))</f>
        <v/>
      </c>
      <c r="AM249" s="21">
        <f>IF(AE249="","",IFERROR(TRIM(INDEX($A249:$X249,MATCH(Lists!$F$10,$A$1:$X$1,0))&amp;""),""))</f>
        <v/>
      </c>
      <c r="AN249" s="21">
        <f>IF(AE249="","",IF(OR(AM249="Paid",AM249="Partially refunded"),"Paid",IF(Z249="Yes","Paid (by hand)",IF(AM249&lt;&gt;"",AM249,"Unpaid"))))</f>
        <v/>
      </c>
      <c r="AO249" s="21">
        <f>IF(AD249=1,COUNTIFS($AE$2:$AE$301,"&lt;"&amp;AE249,$AD$2:$AD$301,1)+COUNTIF($AE$2:AE249,AE249),"")</f>
        <v/>
      </c>
    </row>
    <row r="250">
      <c r="Y250" s="19" t="n"/>
      <c r="Z250" s="22" t="n"/>
      <c r="AA250" s="22" t="n"/>
      <c r="AB250" s="22" t="n"/>
      <c r="AC250" s="19" t="n"/>
      <c r="AD250" s="21">
        <f>IF(AE250="",0,1)</f>
        <v/>
      </c>
      <c r="AE250" s="21">
        <f>IFERROR(TRIM(INDEX($A250:$X250,MATCH(Lists!$F$2,$A$1:$X$1,0))&amp;""),"")</f>
        <v/>
      </c>
      <c r="AF250" s="21">
        <f>IF(AE250="","",IFERROR(TRIM(INDEX($A250:$X250,MATCH(Lists!$F$3,$A$1:$X$1,0))&amp;""),""))</f>
        <v/>
      </c>
      <c r="AG250" s="21">
        <f>IF(AE250="","",IFERROR(TRIM(INDEX($A250:$X250,MATCH(Lists!$F$4,$A$1:$X$1,0))&amp;""),""))</f>
        <v/>
      </c>
      <c r="AH250" s="21">
        <f>IF(AE250="","",LOWER(IFERROR(TRIM(INDEX($A250:$X250,MATCH(Lists!$F$5,$A$1:$X$1,0))&amp;""),"")))</f>
        <v/>
      </c>
      <c r="AI250" s="21">
        <f>IF(AE250="","",IFERROR(TRIM(INDEX($A250:$X250,MATCH(Lists!$F$6,$A$1:$X$1,0))&amp;""),""))</f>
        <v/>
      </c>
      <c r="AJ250" s="21">
        <f>IF(AE250="","",IF(LEFT(IFERROR(TRIM(INDEX($A250:$X250,MATCH(Lists!$F$7,$A$1:$X$1,0))&amp;""),""),3)="Yes","Yes","No"))</f>
        <v/>
      </c>
      <c r="AK250" s="21">
        <f>IF(AE250="","",IFERROR(TRIM(INDEX($A250:$X250,MATCH(Lists!$F$8,$A$1:$X$1,0))&amp;""),""))</f>
        <v/>
      </c>
      <c r="AL250" s="21">
        <f>IF(AE250="","",IFERROR(IF(TRIM(INDEX($A250:$X250,MATCH(Lists!$F$9,$A$1:$X$1,0))&amp;"")="","",VALUE(TRIM(INDEX($A250:$X250,MATCH(Lists!$F$9,$A$1:$X$1,0))&amp;""))),""))</f>
        <v/>
      </c>
      <c r="AM250" s="21">
        <f>IF(AE250="","",IFERROR(TRIM(INDEX($A250:$X250,MATCH(Lists!$F$10,$A$1:$X$1,0))&amp;""),""))</f>
        <v/>
      </c>
      <c r="AN250" s="21">
        <f>IF(AE250="","",IF(OR(AM250="Paid",AM250="Partially refunded"),"Paid",IF(Z250="Yes","Paid (by hand)",IF(AM250&lt;&gt;"",AM250,"Unpaid"))))</f>
        <v/>
      </c>
      <c r="AO250" s="21">
        <f>IF(AD250=1,COUNTIFS($AE$2:$AE$301,"&lt;"&amp;AE250,$AD$2:$AD$301,1)+COUNTIF($AE$2:AE250,AE250),"")</f>
        <v/>
      </c>
    </row>
    <row r="251">
      <c r="Y251" s="19" t="n"/>
      <c r="Z251" s="22" t="n"/>
      <c r="AA251" s="22" t="n"/>
      <c r="AB251" s="22" t="n"/>
      <c r="AC251" s="19" t="n"/>
      <c r="AD251" s="21">
        <f>IF(AE251="",0,1)</f>
        <v/>
      </c>
      <c r="AE251" s="21">
        <f>IFERROR(TRIM(INDEX($A251:$X251,MATCH(Lists!$F$2,$A$1:$X$1,0))&amp;""),"")</f>
        <v/>
      </c>
      <c r="AF251" s="21">
        <f>IF(AE251="","",IFERROR(TRIM(INDEX($A251:$X251,MATCH(Lists!$F$3,$A$1:$X$1,0))&amp;""),""))</f>
        <v/>
      </c>
      <c r="AG251" s="21">
        <f>IF(AE251="","",IFERROR(TRIM(INDEX($A251:$X251,MATCH(Lists!$F$4,$A$1:$X$1,0))&amp;""),""))</f>
        <v/>
      </c>
      <c r="AH251" s="21">
        <f>IF(AE251="","",LOWER(IFERROR(TRIM(INDEX($A251:$X251,MATCH(Lists!$F$5,$A$1:$X$1,0))&amp;""),"")))</f>
        <v/>
      </c>
      <c r="AI251" s="21">
        <f>IF(AE251="","",IFERROR(TRIM(INDEX($A251:$X251,MATCH(Lists!$F$6,$A$1:$X$1,0))&amp;""),""))</f>
        <v/>
      </c>
      <c r="AJ251" s="21">
        <f>IF(AE251="","",IF(LEFT(IFERROR(TRIM(INDEX($A251:$X251,MATCH(Lists!$F$7,$A$1:$X$1,0))&amp;""),""),3)="Yes","Yes","No"))</f>
        <v/>
      </c>
      <c r="AK251" s="21">
        <f>IF(AE251="","",IFERROR(TRIM(INDEX($A251:$X251,MATCH(Lists!$F$8,$A$1:$X$1,0))&amp;""),""))</f>
        <v/>
      </c>
      <c r="AL251" s="21">
        <f>IF(AE251="","",IFERROR(IF(TRIM(INDEX($A251:$X251,MATCH(Lists!$F$9,$A$1:$X$1,0))&amp;"")="","",VALUE(TRIM(INDEX($A251:$X251,MATCH(Lists!$F$9,$A$1:$X$1,0))&amp;""))),""))</f>
        <v/>
      </c>
      <c r="AM251" s="21">
        <f>IF(AE251="","",IFERROR(TRIM(INDEX($A251:$X251,MATCH(Lists!$F$10,$A$1:$X$1,0))&amp;""),""))</f>
        <v/>
      </c>
      <c r="AN251" s="21">
        <f>IF(AE251="","",IF(OR(AM251="Paid",AM251="Partially refunded"),"Paid",IF(Z251="Yes","Paid (by hand)",IF(AM251&lt;&gt;"",AM251,"Unpaid"))))</f>
        <v/>
      </c>
      <c r="AO251" s="21">
        <f>IF(AD251=1,COUNTIFS($AE$2:$AE$301,"&lt;"&amp;AE251,$AD$2:$AD$301,1)+COUNTIF($AE$2:AE251,AE251),"")</f>
        <v/>
      </c>
    </row>
    <row r="252">
      <c r="Y252" s="19" t="n"/>
      <c r="Z252" s="22" t="n"/>
      <c r="AA252" s="22" t="n"/>
      <c r="AB252" s="22" t="n"/>
      <c r="AC252" s="19" t="n"/>
      <c r="AD252" s="21">
        <f>IF(AE252="",0,1)</f>
        <v/>
      </c>
      <c r="AE252" s="21">
        <f>IFERROR(TRIM(INDEX($A252:$X252,MATCH(Lists!$F$2,$A$1:$X$1,0))&amp;""),"")</f>
        <v/>
      </c>
      <c r="AF252" s="21">
        <f>IF(AE252="","",IFERROR(TRIM(INDEX($A252:$X252,MATCH(Lists!$F$3,$A$1:$X$1,0))&amp;""),""))</f>
        <v/>
      </c>
      <c r="AG252" s="21">
        <f>IF(AE252="","",IFERROR(TRIM(INDEX($A252:$X252,MATCH(Lists!$F$4,$A$1:$X$1,0))&amp;""),""))</f>
        <v/>
      </c>
      <c r="AH252" s="21">
        <f>IF(AE252="","",LOWER(IFERROR(TRIM(INDEX($A252:$X252,MATCH(Lists!$F$5,$A$1:$X$1,0))&amp;""),"")))</f>
        <v/>
      </c>
      <c r="AI252" s="21">
        <f>IF(AE252="","",IFERROR(TRIM(INDEX($A252:$X252,MATCH(Lists!$F$6,$A$1:$X$1,0))&amp;""),""))</f>
        <v/>
      </c>
      <c r="AJ252" s="21">
        <f>IF(AE252="","",IF(LEFT(IFERROR(TRIM(INDEX($A252:$X252,MATCH(Lists!$F$7,$A$1:$X$1,0))&amp;""),""),3)="Yes","Yes","No"))</f>
        <v/>
      </c>
      <c r="AK252" s="21">
        <f>IF(AE252="","",IFERROR(TRIM(INDEX($A252:$X252,MATCH(Lists!$F$8,$A$1:$X$1,0))&amp;""),""))</f>
        <v/>
      </c>
      <c r="AL252" s="21">
        <f>IF(AE252="","",IFERROR(IF(TRIM(INDEX($A252:$X252,MATCH(Lists!$F$9,$A$1:$X$1,0))&amp;"")="","",VALUE(TRIM(INDEX($A252:$X252,MATCH(Lists!$F$9,$A$1:$X$1,0))&amp;""))),""))</f>
        <v/>
      </c>
      <c r="AM252" s="21">
        <f>IF(AE252="","",IFERROR(TRIM(INDEX($A252:$X252,MATCH(Lists!$F$10,$A$1:$X$1,0))&amp;""),""))</f>
        <v/>
      </c>
      <c r="AN252" s="21">
        <f>IF(AE252="","",IF(OR(AM252="Paid",AM252="Partially refunded"),"Paid",IF(Z252="Yes","Paid (by hand)",IF(AM252&lt;&gt;"",AM252,"Unpaid"))))</f>
        <v/>
      </c>
      <c r="AO252" s="21">
        <f>IF(AD252=1,COUNTIFS($AE$2:$AE$301,"&lt;"&amp;AE252,$AD$2:$AD$301,1)+COUNTIF($AE$2:AE252,AE252),"")</f>
        <v/>
      </c>
    </row>
    <row r="253">
      <c r="Y253" s="19" t="n"/>
      <c r="Z253" s="22" t="n"/>
      <c r="AA253" s="22" t="n"/>
      <c r="AB253" s="22" t="n"/>
      <c r="AC253" s="19" t="n"/>
      <c r="AD253" s="21">
        <f>IF(AE253="",0,1)</f>
        <v/>
      </c>
      <c r="AE253" s="21">
        <f>IFERROR(TRIM(INDEX($A253:$X253,MATCH(Lists!$F$2,$A$1:$X$1,0))&amp;""),"")</f>
        <v/>
      </c>
      <c r="AF253" s="21">
        <f>IF(AE253="","",IFERROR(TRIM(INDEX($A253:$X253,MATCH(Lists!$F$3,$A$1:$X$1,0))&amp;""),""))</f>
        <v/>
      </c>
      <c r="AG253" s="21">
        <f>IF(AE253="","",IFERROR(TRIM(INDEX($A253:$X253,MATCH(Lists!$F$4,$A$1:$X$1,0))&amp;""),""))</f>
        <v/>
      </c>
      <c r="AH253" s="21">
        <f>IF(AE253="","",LOWER(IFERROR(TRIM(INDEX($A253:$X253,MATCH(Lists!$F$5,$A$1:$X$1,0))&amp;""),"")))</f>
        <v/>
      </c>
      <c r="AI253" s="21">
        <f>IF(AE253="","",IFERROR(TRIM(INDEX($A253:$X253,MATCH(Lists!$F$6,$A$1:$X$1,0))&amp;""),""))</f>
        <v/>
      </c>
      <c r="AJ253" s="21">
        <f>IF(AE253="","",IF(LEFT(IFERROR(TRIM(INDEX($A253:$X253,MATCH(Lists!$F$7,$A$1:$X$1,0))&amp;""),""),3)="Yes","Yes","No"))</f>
        <v/>
      </c>
      <c r="AK253" s="21">
        <f>IF(AE253="","",IFERROR(TRIM(INDEX($A253:$X253,MATCH(Lists!$F$8,$A$1:$X$1,0))&amp;""),""))</f>
        <v/>
      </c>
      <c r="AL253" s="21">
        <f>IF(AE253="","",IFERROR(IF(TRIM(INDEX($A253:$X253,MATCH(Lists!$F$9,$A$1:$X$1,0))&amp;"")="","",VALUE(TRIM(INDEX($A253:$X253,MATCH(Lists!$F$9,$A$1:$X$1,0))&amp;""))),""))</f>
        <v/>
      </c>
      <c r="AM253" s="21">
        <f>IF(AE253="","",IFERROR(TRIM(INDEX($A253:$X253,MATCH(Lists!$F$10,$A$1:$X$1,0))&amp;""),""))</f>
        <v/>
      </c>
      <c r="AN253" s="21">
        <f>IF(AE253="","",IF(OR(AM253="Paid",AM253="Partially refunded"),"Paid",IF(Z253="Yes","Paid (by hand)",IF(AM253&lt;&gt;"",AM253,"Unpaid"))))</f>
        <v/>
      </c>
      <c r="AO253" s="21">
        <f>IF(AD253=1,COUNTIFS($AE$2:$AE$301,"&lt;"&amp;AE253,$AD$2:$AD$301,1)+COUNTIF($AE$2:AE253,AE253),"")</f>
        <v/>
      </c>
    </row>
    <row r="254">
      <c r="Y254" s="19" t="n"/>
      <c r="Z254" s="22" t="n"/>
      <c r="AA254" s="22" t="n"/>
      <c r="AB254" s="22" t="n"/>
      <c r="AC254" s="19" t="n"/>
      <c r="AD254" s="21">
        <f>IF(AE254="",0,1)</f>
        <v/>
      </c>
      <c r="AE254" s="21">
        <f>IFERROR(TRIM(INDEX($A254:$X254,MATCH(Lists!$F$2,$A$1:$X$1,0))&amp;""),"")</f>
        <v/>
      </c>
      <c r="AF254" s="21">
        <f>IF(AE254="","",IFERROR(TRIM(INDEX($A254:$X254,MATCH(Lists!$F$3,$A$1:$X$1,0))&amp;""),""))</f>
        <v/>
      </c>
      <c r="AG254" s="21">
        <f>IF(AE254="","",IFERROR(TRIM(INDEX($A254:$X254,MATCH(Lists!$F$4,$A$1:$X$1,0))&amp;""),""))</f>
        <v/>
      </c>
      <c r="AH254" s="21">
        <f>IF(AE254="","",LOWER(IFERROR(TRIM(INDEX($A254:$X254,MATCH(Lists!$F$5,$A$1:$X$1,0))&amp;""),"")))</f>
        <v/>
      </c>
      <c r="AI254" s="21">
        <f>IF(AE254="","",IFERROR(TRIM(INDEX($A254:$X254,MATCH(Lists!$F$6,$A$1:$X$1,0))&amp;""),""))</f>
        <v/>
      </c>
      <c r="AJ254" s="21">
        <f>IF(AE254="","",IF(LEFT(IFERROR(TRIM(INDEX($A254:$X254,MATCH(Lists!$F$7,$A$1:$X$1,0))&amp;""),""),3)="Yes","Yes","No"))</f>
        <v/>
      </c>
      <c r="AK254" s="21">
        <f>IF(AE254="","",IFERROR(TRIM(INDEX($A254:$X254,MATCH(Lists!$F$8,$A$1:$X$1,0))&amp;""),""))</f>
        <v/>
      </c>
      <c r="AL254" s="21">
        <f>IF(AE254="","",IFERROR(IF(TRIM(INDEX($A254:$X254,MATCH(Lists!$F$9,$A$1:$X$1,0))&amp;"")="","",VALUE(TRIM(INDEX($A254:$X254,MATCH(Lists!$F$9,$A$1:$X$1,0))&amp;""))),""))</f>
        <v/>
      </c>
      <c r="AM254" s="21">
        <f>IF(AE254="","",IFERROR(TRIM(INDEX($A254:$X254,MATCH(Lists!$F$10,$A$1:$X$1,0))&amp;""),""))</f>
        <v/>
      </c>
      <c r="AN254" s="21">
        <f>IF(AE254="","",IF(OR(AM254="Paid",AM254="Partially refunded"),"Paid",IF(Z254="Yes","Paid (by hand)",IF(AM254&lt;&gt;"",AM254,"Unpaid"))))</f>
        <v/>
      </c>
      <c r="AO254" s="21">
        <f>IF(AD254=1,COUNTIFS($AE$2:$AE$301,"&lt;"&amp;AE254,$AD$2:$AD$301,1)+COUNTIF($AE$2:AE254,AE254),"")</f>
        <v/>
      </c>
    </row>
    <row r="255">
      <c r="Y255" s="19" t="n"/>
      <c r="Z255" s="22" t="n"/>
      <c r="AA255" s="22" t="n"/>
      <c r="AB255" s="22" t="n"/>
      <c r="AC255" s="19" t="n"/>
      <c r="AD255" s="21">
        <f>IF(AE255="",0,1)</f>
        <v/>
      </c>
      <c r="AE255" s="21">
        <f>IFERROR(TRIM(INDEX($A255:$X255,MATCH(Lists!$F$2,$A$1:$X$1,0))&amp;""),"")</f>
        <v/>
      </c>
      <c r="AF255" s="21">
        <f>IF(AE255="","",IFERROR(TRIM(INDEX($A255:$X255,MATCH(Lists!$F$3,$A$1:$X$1,0))&amp;""),""))</f>
        <v/>
      </c>
      <c r="AG255" s="21">
        <f>IF(AE255="","",IFERROR(TRIM(INDEX($A255:$X255,MATCH(Lists!$F$4,$A$1:$X$1,0))&amp;""),""))</f>
        <v/>
      </c>
      <c r="AH255" s="21">
        <f>IF(AE255="","",LOWER(IFERROR(TRIM(INDEX($A255:$X255,MATCH(Lists!$F$5,$A$1:$X$1,0))&amp;""),"")))</f>
        <v/>
      </c>
      <c r="AI255" s="21">
        <f>IF(AE255="","",IFERROR(TRIM(INDEX($A255:$X255,MATCH(Lists!$F$6,$A$1:$X$1,0))&amp;""),""))</f>
        <v/>
      </c>
      <c r="AJ255" s="21">
        <f>IF(AE255="","",IF(LEFT(IFERROR(TRIM(INDEX($A255:$X255,MATCH(Lists!$F$7,$A$1:$X$1,0))&amp;""),""),3)="Yes","Yes","No"))</f>
        <v/>
      </c>
      <c r="AK255" s="21">
        <f>IF(AE255="","",IFERROR(TRIM(INDEX($A255:$X255,MATCH(Lists!$F$8,$A$1:$X$1,0))&amp;""),""))</f>
        <v/>
      </c>
      <c r="AL255" s="21">
        <f>IF(AE255="","",IFERROR(IF(TRIM(INDEX($A255:$X255,MATCH(Lists!$F$9,$A$1:$X$1,0))&amp;"")="","",VALUE(TRIM(INDEX($A255:$X255,MATCH(Lists!$F$9,$A$1:$X$1,0))&amp;""))),""))</f>
        <v/>
      </c>
      <c r="AM255" s="21">
        <f>IF(AE255="","",IFERROR(TRIM(INDEX($A255:$X255,MATCH(Lists!$F$10,$A$1:$X$1,0))&amp;""),""))</f>
        <v/>
      </c>
      <c r="AN255" s="21">
        <f>IF(AE255="","",IF(OR(AM255="Paid",AM255="Partially refunded"),"Paid",IF(Z255="Yes","Paid (by hand)",IF(AM255&lt;&gt;"",AM255,"Unpaid"))))</f>
        <v/>
      </c>
      <c r="AO255" s="21">
        <f>IF(AD255=1,COUNTIFS($AE$2:$AE$301,"&lt;"&amp;AE255,$AD$2:$AD$301,1)+COUNTIF($AE$2:AE255,AE255),"")</f>
        <v/>
      </c>
    </row>
    <row r="256">
      <c r="Y256" s="19" t="n"/>
      <c r="Z256" s="22" t="n"/>
      <c r="AA256" s="22" t="n"/>
      <c r="AB256" s="22" t="n"/>
      <c r="AC256" s="19" t="n"/>
      <c r="AD256" s="21">
        <f>IF(AE256="",0,1)</f>
        <v/>
      </c>
      <c r="AE256" s="21">
        <f>IFERROR(TRIM(INDEX($A256:$X256,MATCH(Lists!$F$2,$A$1:$X$1,0))&amp;""),"")</f>
        <v/>
      </c>
      <c r="AF256" s="21">
        <f>IF(AE256="","",IFERROR(TRIM(INDEX($A256:$X256,MATCH(Lists!$F$3,$A$1:$X$1,0))&amp;""),""))</f>
        <v/>
      </c>
      <c r="AG256" s="21">
        <f>IF(AE256="","",IFERROR(TRIM(INDEX($A256:$X256,MATCH(Lists!$F$4,$A$1:$X$1,0))&amp;""),""))</f>
        <v/>
      </c>
      <c r="AH256" s="21">
        <f>IF(AE256="","",LOWER(IFERROR(TRIM(INDEX($A256:$X256,MATCH(Lists!$F$5,$A$1:$X$1,0))&amp;""),"")))</f>
        <v/>
      </c>
      <c r="AI256" s="21">
        <f>IF(AE256="","",IFERROR(TRIM(INDEX($A256:$X256,MATCH(Lists!$F$6,$A$1:$X$1,0))&amp;""),""))</f>
        <v/>
      </c>
      <c r="AJ256" s="21">
        <f>IF(AE256="","",IF(LEFT(IFERROR(TRIM(INDEX($A256:$X256,MATCH(Lists!$F$7,$A$1:$X$1,0))&amp;""),""),3)="Yes","Yes","No"))</f>
        <v/>
      </c>
      <c r="AK256" s="21">
        <f>IF(AE256="","",IFERROR(TRIM(INDEX($A256:$X256,MATCH(Lists!$F$8,$A$1:$X$1,0))&amp;""),""))</f>
        <v/>
      </c>
      <c r="AL256" s="21">
        <f>IF(AE256="","",IFERROR(IF(TRIM(INDEX($A256:$X256,MATCH(Lists!$F$9,$A$1:$X$1,0))&amp;"")="","",VALUE(TRIM(INDEX($A256:$X256,MATCH(Lists!$F$9,$A$1:$X$1,0))&amp;""))),""))</f>
        <v/>
      </c>
      <c r="AM256" s="21">
        <f>IF(AE256="","",IFERROR(TRIM(INDEX($A256:$X256,MATCH(Lists!$F$10,$A$1:$X$1,0))&amp;""),""))</f>
        <v/>
      </c>
      <c r="AN256" s="21">
        <f>IF(AE256="","",IF(OR(AM256="Paid",AM256="Partially refunded"),"Paid",IF(Z256="Yes","Paid (by hand)",IF(AM256&lt;&gt;"",AM256,"Unpaid"))))</f>
        <v/>
      </c>
      <c r="AO256" s="21">
        <f>IF(AD256=1,COUNTIFS($AE$2:$AE$301,"&lt;"&amp;AE256,$AD$2:$AD$301,1)+COUNTIF($AE$2:AE256,AE256),"")</f>
        <v/>
      </c>
    </row>
    <row r="257">
      <c r="Y257" s="19" t="n"/>
      <c r="Z257" s="22" t="n"/>
      <c r="AA257" s="22" t="n"/>
      <c r="AB257" s="22" t="n"/>
      <c r="AC257" s="19" t="n"/>
      <c r="AD257" s="21">
        <f>IF(AE257="",0,1)</f>
        <v/>
      </c>
      <c r="AE257" s="21">
        <f>IFERROR(TRIM(INDEX($A257:$X257,MATCH(Lists!$F$2,$A$1:$X$1,0))&amp;""),"")</f>
        <v/>
      </c>
      <c r="AF257" s="21">
        <f>IF(AE257="","",IFERROR(TRIM(INDEX($A257:$X257,MATCH(Lists!$F$3,$A$1:$X$1,0))&amp;""),""))</f>
        <v/>
      </c>
      <c r="AG257" s="21">
        <f>IF(AE257="","",IFERROR(TRIM(INDEX($A257:$X257,MATCH(Lists!$F$4,$A$1:$X$1,0))&amp;""),""))</f>
        <v/>
      </c>
      <c r="AH257" s="21">
        <f>IF(AE257="","",LOWER(IFERROR(TRIM(INDEX($A257:$X257,MATCH(Lists!$F$5,$A$1:$X$1,0))&amp;""),"")))</f>
        <v/>
      </c>
      <c r="AI257" s="21">
        <f>IF(AE257="","",IFERROR(TRIM(INDEX($A257:$X257,MATCH(Lists!$F$6,$A$1:$X$1,0))&amp;""),""))</f>
        <v/>
      </c>
      <c r="AJ257" s="21">
        <f>IF(AE257="","",IF(LEFT(IFERROR(TRIM(INDEX($A257:$X257,MATCH(Lists!$F$7,$A$1:$X$1,0))&amp;""),""),3)="Yes","Yes","No"))</f>
        <v/>
      </c>
      <c r="AK257" s="21">
        <f>IF(AE257="","",IFERROR(TRIM(INDEX($A257:$X257,MATCH(Lists!$F$8,$A$1:$X$1,0))&amp;""),""))</f>
        <v/>
      </c>
      <c r="AL257" s="21">
        <f>IF(AE257="","",IFERROR(IF(TRIM(INDEX($A257:$X257,MATCH(Lists!$F$9,$A$1:$X$1,0))&amp;"")="","",VALUE(TRIM(INDEX($A257:$X257,MATCH(Lists!$F$9,$A$1:$X$1,0))&amp;""))),""))</f>
        <v/>
      </c>
      <c r="AM257" s="21">
        <f>IF(AE257="","",IFERROR(TRIM(INDEX($A257:$X257,MATCH(Lists!$F$10,$A$1:$X$1,0))&amp;""),""))</f>
        <v/>
      </c>
      <c r="AN257" s="21">
        <f>IF(AE257="","",IF(OR(AM257="Paid",AM257="Partially refunded"),"Paid",IF(Z257="Yes","Paid (by hand)",IF(AM257&lt;&gt;"",AM257,"Unpaid"))))</f>
        <v/>
      </c>
      <c r="AO257" s="21">
        <f>IF(AD257=1,COUNTIFS($AE$2:$AE$301,"&lt;"&amp;AE257,$AD$2:$AD$301,1)+COUNTIF($AE$2:AE257,AE257),"")</f>
        <v/>
      </c>
    </row>
    <row r="258">
      <c r="Y258" s="19" t="n"/>
      <c r="Z258" s="22" t="n"/>
      <c r="AA258" s="22" t="n"/>
      <c r="AB258" s="22" t="n"/>
      <c r="AC258" s="19" t="n"/>
      <c r="AD258" s="21">
        <f>IF(AE258="",0,1)</f>
        <v/>
      </c>
      <c r="AE258" s="21">
        <f>IFERROR(TRIM(INDEX($A258:$X258,MATCH(Lists!$F$2,$A$1:$X$1,0))&amp;""),"")</f>
        <v/>
      </c>
      <c r="AF258" s="21">
        <f>IF(AE258="","",IFERROR(TRIM(INDEX($A258:$X258,MATCH(Lists!$F$3,$A$1:$X$1,0))&amp;""),""))</f>
        <v/>
      </c>
      <c r="AG258" s="21">
        <f>IF(AE258="","",IFERROR(TRIM(INDEX($A258:$X258,MATCH(Lists!$F$4,$A$1:$X$1,0))&amp;""),""))</f>
        <v/>
      </c>
      <c r="AH258" s="21">
        <f>IF(AE258="","",LOWER(IFERROR(TRIM(INDEX($A258:$X258,MATCH(Lists!$F$5,$A$1:$X$1,0))&amp;""),"")))</f>
        <v/>
      </c>
      <c r="AI258" s="21">
        <f>IF(AE258="","",IFERROR(TRIM(INDEX($A258:$X258,MATCH(Lists!$F$6,$A$1:$X$1,0))&amp;""),""))</f>
        <v/>
      </c>
      <c r="AJ258" s="21">
        <f>IF(AE258="","",IF(LEFT(IFERROR(TRIM(INDEX($A258:$X258,MATCH(Lists!$F$7,$A$1:$X$1,0))&amp;""),""),3)="Yes","Yes","No"))</f>
        <v/>
      </c>
      <c r="AK258" s="21">
        <f>IF(AE258="","",IFERROR(TRIM(INDEX($A258:$X258,MATCH(Lists!$F$8,$A$1:$X$1,0))&amp;""),""))</f>
        <v/>
      </c>
      <c r="AL258" s="21">
        <f>IF(AE258="","",IFERROR(IF(TRIM(INDEX($A258:$X258,MATCH(Lists!$F$9,$A$1:$X$1,0))&amp;"")="","",VALUE(TRIM(INDEX($A258:$X258,MATCH(Lists!$F$9,$A$1:$X$1,0))&amp;""))),""))</f>
        <v/>
      </c>
      <c r="AM258" s="21">
        <f>IF(AE258="","",IFERROR(TRIM(INDEX($A258:$X258,MATCH(Lists!$F$10,$A$1:$X$1,0))&amp;""),""))</f>
        <v/>
      </c>
      <c r="AN258" s="21">
        <f>IF(AE258="","",IF(OR(AM258="Paid",AM258="Partially refunded"),"Paid",IF(Z258="Yes","Paid (by hand)",IF(AM258&lt;&gt;"",AM258,"Unpaid"))))</f>
        <v/>
      </c>
      <c r="AO258" s="21">
        <f>IF(AD258=1,COUNTIFS($AE$2:$AE$301,"&lt;"&amp;AE258,$AD$2:$AD$301,1)+COUNTIF($AE$2:AE258,AE258),"")</f>
        <v/>
      </c>
    </row>
    <row r="259">
      <c r="Y259" s="19" t="n"/>
      <c r="Z259" s="22" t="n"/>
      <c r="AA259" s="22" t="n"/>
      <c r="AB259" s="22" t="n"/>
      <c r="AC259" s="19" t="n"/>
      <c r="AD259" s="21">
        <f>IF(AE259="",0,1)</f>
        <v/>
      </c>
      <c r="AE259" s="21">
        <f>IFERROR(TRIM(INDEX($A259:$X259,MATCH(Lists!$F$2,$A$1:$X$1,0))&amp;""),"")</f>
        <v/>
      </c>
      <c r="AF259" s="21">
        <f>IF(AE259="","",IFERROR(TRIM(INDEX($A259:$X259,MATCH(Lists!$F$3,$A$1:$X$1,0))&amp;""),""))</f>
        <v/>
      </c>
      <c r="AG259" s="21">
        <f>IF(AE259="","",IFERROR(TRIM(INDEX($A259:$X259,MATCH(Lists!$F$4,$A$1:$X$1,0))&amp;""),""))</f>
        <v/>
      </c>
      <c r="AH259" s="21">
        <f>IF(AE259="","",LOWER(IFERROR(TRIM(INDEX($A259:$X259,MATCH(Lists!$F$5,$A$1:$X$1,0))&amp;""),"")))</f>
        <v/>
      </c>
      <c r="AI259" s="21">
        <f>IF(AE259="","",IFERROR(TRIM(INDEX($A259:$X259,MATCH(Lists!$F$6,$A$1:$X$1,0))&amp;""),""))</f>
        <v/>
      </c>
      <c r="AJ259" s="21">
        <f>IF(AE259="","",IF(LEFT(IFERROR(TRIM(INDEX($A259:$X259,MATCH(Lists!$F$7,$A$1:$X$1,0))&amp;""),""),3)="Yes","Yes","No"))</f>
        <v/>
      </c>
      <c r="AK259" s="21">
        <f>IF(AE259="","",IFERROR(TRIM(INDEX($A259:$X259,MATCH(Lists!$F$8,$A$1:$X$1,0))&amp;""),""))</f>
        <v/>
      </c>
      <c r="AL259" s="21">
        <f>IF(AE259="","",IFERROR(IF(TRIM(INDEX($A259:$X259,MATCH(Lists!$F$9,$A$1:$X$1,0))&amp;"")="","",VALUE(TRIM(INDEX($A259:$X259,MATCH(Lists!$F$9,$A$1:$X$1,0))&amp;""))),""))</f>
        <v/>
      </c>
      <c r="AM259" s="21">
        <f>IF(AE259="","",IFERROR(TRIM(INDEX($A259:$X259,MATCH(Lists!$F$10,$A$1:$X$1,0))&amp;""),""))</f>
        <v/>
      </c>
      <c r="AN259" s="21">
        <f>IF(AE259="","",IF(OR(AM259="Paid",AM259="Partially refunded"),"Paid",IF(Z259="Yes","Paid (by hand)",IF(AM259&lt;&gt;"",AM259,"Unpaid"))))</f>
        <v/>
      </c>
      <c r="AO259" s="21">
        <f>IF(AD259=1,COUNTIFS($AE$2:$AE$301,"&lt;"&amp;AE259,$AD$2:$AD$301,1)+COUNTIF($AE$2:AE259,AE259),"")</f>
        <v/>
      </c>
    </row>
    <row r="260">
      <c r="Y260" s="19" t="n"/>
      <c r="Z260" s="22" t="n"/>
      <c r="AA260" s="22" t="n"/>
      <c r="AB260" s="22" t="n"/>
      <c r="AC260" s="19" t="n"/>
      <c r="AD260" s="21">
        <f>IF(AE260="",0,1)</f>
        <v/>
      </c>
      <c r="AE260" s="21">
        <f>IFERROR(TRIM(INDEX($A260:$X260,MATCH(Lists!$F$2,$A$1:$X$1,0))&amp;""),"")</f>
        <v/>
      </c>
      <c r="AF260" s="21">
        <f>IF(AE260="","",IFERROR(TRIM(INDEX($A260:$X260,MATCH(Lists!$F$3,$A$1:$X$1,0))&amp;""),""))</f>
        <v/>
      </c>
      <c r="AG260" s="21">
        <f>IF(AE260="","",IFERROR(TRIM(INDEX($A260:$X260,MATCH(Lists!$F$4,$A$1:$X$1,0))&amp;""),""))</f>
        <v/>
      </c>
      <c r="AH260" s="21">
        <f>IF(AE260="","",LOWER(IFERROR(TRIM(INDEX($A260:$X260,MATCH(Lists!$F$5,$A$1:$X$1,0))&amp;""),"")))</f>
        <v/>
      </c>
      <c r="AI260" s="21">
        <f>IF(AE260="","",IFERROR(TRIM(INDEX($A260:$X260,MATCH(Lists!$F$6,$A$1:$X$1,0))&amp;""),""))</f>
        <v/>
      </c>
      <c r="AJ260" s="21">
        <f>IF(AE260="","",IF(LEFT(IFERROR(TRIM(INDEX($A260:$X260,MATCH(Lists!$F$7,$A$1:$X$1,0))&amp;""),""),3)="Yes","Yes","No"))</f>
        <v/>
      </c>
      <c r="AK260" s="21">
        <f>IF(AE260="","",IFERROR(TRIM(INDEX($A260:$X260,MATCH(Lists!$F$8,$A$1:$X$1,0))&amp;""),""))</f>
        <v/>
      </c>
      <c r="AL260" s="21">
        <f>IF(AE260="","",IFERROR(IF(TRIM(INDEX($A260:$X260,MATCH(Lists!$F$9,$A$1:$X$1,0))&amp;"")="","",VALUE(TRIM(INDEX($A260:$X260,MATCH(Lists!$F$9,$A$1:$X$1,0))&amp;""))),""))</f>
        <v/>
      </c>
      <c r="AM260" s="21">
        <f>IF(AE260="","",IFERROR(TRIM(INDEX($A260:$X260,MATCH(Lists!$F$10,$A$1:$X$1,0))&amp;""),""))</f>
        <v/>
      </c>
      <c r="AN260" s="21">
        <f>IF(AE260="","",IF(OR(AM260="Paid",AM260="Partially refunded"),"Paid",IF(Z260="Yes","Paid (by hand)",IF(AM260&lt;&gt;"",AM260,"Unpaid"))))</f>
        <v/>
      </c>
      <c r="AO260" s="21">
        <f>IF(AD260=1,COUNTIFS($AE$2:$AE$301,"&lt;"&amp;AE260,$AD$2:$AD$301,1)+COUNTIF($AE$2:AE260,AE260),"")</f>
        <v/>
      </c>
    </row>
    <row r="261">
      <c r="Y261" s="19" t="n"/>
      <c r="Z261" s="22" t="n"/>
      <c r="AA261" s="22" t="n"/>
      <c r="AB261" s="22" t="n"/>
      <c r="AC261" s="19" t="n"/>
      <c r="AD261" s="21">
        <f>IF(AE261="",0,1)</f>
        <v/>
      </c>
      <c r="AE261" s="21">
        <f>IFERROR(TRIM(INDEX($A261:$X261,MATCH(Lists!$F$2,$A$1:$X$1,0))&amp;""),"")</f>
        <v/>
      </c>
      <c r="AF261" s="21">
        <f>IF(AE261="","",IFERROR(TRIM(INDEX($A261:$X261,MATCH(Lists!$F$3,$A$1:$X$1,0))&amp;""),""))</f>
        <v/>
      </c>
      <c r="AG261" s="21">
        <f>IF(AE261="","",IFERROR(TRIM(INDEX($A261:$X261,MATCH(Lists!$F$4,$A$1:$X$1,0))&amp;""),""))</f>
        <v/>
      </c>
      <c r="AH261" s="21">
        <f>IF(AE261="","",LOWER(IFERROR(TRIM(INDEX($A261:$X261,MATCH(Lists!$F$5,$A$1:$X$1,0))&amp;""),"")))</f>
        <v/>
      </c>
      <c r="AI261" s="21">
        <f>IF(AE261="","",IFERROR(TRIM(INDEX($A261:$X261,MATCH(Lists!$F$6,$A$1:$X$1,0))&amp;""),""))</f>
        <v/>
      </c>
      <c r="AJ261" s="21">
        <f>IF(AE261="","",IF(LEFT(IFERROR(TRIM(INDEX($A261:$X261,MATCH(Lists!$F$7,$A$1:$X$1,0))&amp;""),""),3)="Yes","Yes","No"))</f>
        <v/>
      </c>
      <c r="AK261" s="21">
        <f>IF(AE261="","",IFERROR(TRIM(INDEX($A261:$X261,MATCH(Lists!$F$8,$A$1:$X$1,0))&amp;""),""))</f>
        <v/>
      </c>
      <c r="AL261" s="21">
        <f>IF(AE261="","",IFERROR(IF(TRIM(INDEX($A261:$X261,MATCH(Lists!$F$9,$A$1:$X$1,0))&amp;"")="","",VALUE(TRIM(INDEX($A261:$X261,MATCH(Lists!$F$9,$A$1:$X$1,0))&amp;""))),""))</f>
        <v/>
      </c>
      <c r="AM261" s="21">
        <f>IF(AE261="","",IFERROR(TRIM(INDEX($A261:$X261,MATCH(Lists!$F$10,$A$1:$X$1,0))&amp;""),""))</f>
        <v/>
      </c>
      <c r="AN261" s="21">
        <f>IF(AE261="","",IF(OR(AM261="Paid",AM261="Partially refunded"),"Paid",IF(Z261="Yes","Paid (by hand)",IF(AM261&lt;&gt;"",AM261,"Unpaid"))))</f>
        <v/>
      </c>
      <c r="AO261" s="21">
        <f>IF(AD261=1,COUNTIFS($AE$2:$AE$301,"&lt;"&amp;AE261,$AD$2:$AD$301,1)+COUNTIF($AE$2:AE261,AE261),"")</f>
        <v/>
      </c>
    </row>
    <row r="262">
      <c r="Y262" s="19" t="n"/>
      <c r="Z262" s="22" t="n"/>
      <c r="AA262" s="22" t="n"/>
      <c r="AB262" s="22" t="n"/>
      <c r="AC262" s="19" t="n"/>
      <c r="AD262" s="21">
        <f>IF(AE262="",0,1)</f>
        <v/>
      </c>
      <c r="AE262" s="21">
        <f>IFERROR(TRIM(INDEX($A262:$X262,MATCH(Lists!$F$2,$A$1:$X$1,0))&amp;""),"")</f>
        <v/>
      </c>
      <c r="AF262" s="21">
        <f>IF(AE262="","",IFERROR(TRIM(INDEX($A262:$X262,MATCH(Lists!$F$3,$A$1:$X$1,0))&amp;""),""))</f>
        <v/>
      </c>
      <c r="AG262" s="21">
        <f>IF(AE262="","",IFERROR(TRIM(INDEX($A262:$X262,MATCH(Lists!$F$4,$A$1:$X$1,0))&amp;""),""))</f>
        <v/>
      </c>
      <c r="AH262" s="21">
        <f>IF(AE262="","",LOWER(IFERROR(TRIM(INDEX($A262:$X262,MATCH(Lists!$F$5,$A$1:$X$1,0))&amp;""),"")))</f>
        <v/>
      </c>
      <c r="AI262" s="21">
        <f>IF(AE262="","",IFERROR(TRIM(INDEX($A262:$X262,MATCH(Lists!$F$6,$A$1:$X$1,0))&amp;""),""))</f>
        <v/>
      </c>
      <c r="AJ262" s="21">
        <f>IF(AE262="","",IF(LEFT(IFERROR(TRIM(INDEX($A262:$X262,MATCH(Lists!$F$7,$A$1:$X$1,0))&amp;""),""),3)="Yes","Yes","No"))</f>
        <v/>
      </c>
      <c r="AK262" s="21">
        <f>IF(AE262="","",IFERROR(TRIM(INDEX($A262:$X262,MATCH(Lists!$F$8,$A$1:$X$1,0))&amp;""),""))</f>
        <v/>
      </c>
      <c r="AL262" s="21">
        <f>IF(AE262="","",IFERROR(IF(TRIM(INDEX($A262:$X262,MATCH(Lists!$F$9,$A$1:$X$1,0))&amp;"")="","",VALUE(TRIM(INDEX($A262:$X262,MATCH(Lists!$F$9,$A$1:$X$1,0))&amp;""))),""))</f>
        <v/>
      </c>
      <c r="AM262" s="21">
        <f>IF(AE262="","",IFERROR(TRIM(INDEX($A262:$X262,MATCH(Lists!$F$10,$A$1:$X$1,0))&amp;""),""))</f>
        <v/>
      </c>
      <c r="AN262" s="21">
        <f>IF(AE262="","",IF(OR(AM262="Paid",AM262="Partially refunded"),"Paid",IF(Z262="Yes","Paid (by hand)",IF(AM262&lt;&gt;"",AM262,"Unpaid"))))</f>
        <v/>
      </c>
      <c r="AO262" s="21">
        <f>IF(AD262=1,COUNTIFS($AE$2:$AE$301,"&lt;"&amp;AE262,$AD$2:$AD$301,1)+COUNTIF($AE$2:AE262,AE262),"")</f>
        <v/>
      </c>
    </row>
    <row r="263">
      <c r="Y263" s="19" t="n"/>
      <c r="Z263" s="22" t="n"/>
      <c r="AA263" s="22" t="n"/>
      <c r="AB263" s="22" t="n"/>
      <c r="AC263" s="19" t="n"/>
      <c r="AD263" s="21">
        <f>IF(AE263="",0,1)</f>
        <v/>
      </c>
      <c r="AE263" s="21">
        <f>IFERROR(TRIM(INDEX($A263:$X263,MATCH(Lists!$F$2,$A$1:$X$1,0))&amp;""),"")</f>
        <v/>
      </c>
      <c r="AF263" s="21">
        <f>IF(AE263="","",IFERROR(TRIM(INDEX($A263:$X263,MATCH(Lists!$F$3,$A$1:$X$1,0))&amp;""),""))</f>
        <v/>
      </c>
      <c r="AG263" s="21">
        <f>IF(AE263="","",IFERROR(TRIM(INDEX($A263:$X263,MATCH(Lists!$F$4,$A$1:$X$1,0))&amp;""),""))</f>
        <v/>
      </c>
      <c r="AH263" s="21">
        <f>IF(AE263="","",LOWER(IFERROR(TRIM(INDEX($A263:$X263,MATCH(Lists!$F$5,$A$1:$X$1,0))&amp;""),"")))</f>
        <v/>
      </c>
      <c r="AI263" s="21">
        <f>IF(AE263="","",IFERROR(TRIM(INDEX($A263:$X263,MATCH(Lists!$F$6,$A$1:$X$1,0))&amp;""),""))</f>
        <v/>
      </c>
      <c r="AJ263" s="21">
        <f>IF(AE263="","",IF(LEFT(IFERROR(TRIM(INDEX($A263:$X263,MATCH(Lists!$F$7,$A$1:$X$1,0))&amp;""),""),3)="Yes","Yes","No"))</f>
        <v/>
      </c>
      <c r="AK263" s="21">
        <f>IF(AE263="","",IFERROR(TRIM(INDEX($A263:$X263,MATCH(Lists!$F$8,$A$1:$X$1,0))&amp;""),""))</f>
        <v/>
      </c>
      <c r="AL263" s="21">
        <f>IF(AE263="","",IFERROR(IF(TRIM(INDEX($A263:$X263,MATCH(Lists!$F$9,$A$1:$X$1,0))&amp;"")="","",VALUE(TRIM(INDEX($A263:$X263,MATCH(Lists!$F$9,$A$1:$X$1,0))&amp;""))),""))</f>
        <v/>
      </c>
      <c r="AM263" s="21">
        <f>IF(AE263="","",IFERROR(TRIM(INDEX($A263:$X263,MATCH(Lists!$F$10,$A$1:$X$1,0))&amp;""),""))</f>
        <v/>
      </c>
      <c r="AN263" s="21">
        <f>IF(AE263="","",IF(OR(AM263="Paid",AM263="Partially refunded"),"Paid",IF(Z263="Yes","Paid (by hand)",IF(AM263&lt;&gt;"",AM263,"Unpaid"))))</f>
        <v/>
      </c>
      <c r="AO263" s="21">
        <f>IF(AD263=1,COUNTIFS($AE$2:$AE$301,"&lt;"&amp;AE263,$AD$2:$AD$301,1)+COUNTIF($AE$2:AE263,AE263),"")</f>
        <v/>
      </c>
    </row>
    <row r="264">
      <c r="Y264" s="19" t="n"/>
      <c r="Z264" s="22" t="n"/>
      <c r="AA264" s="22" t="n"/>
      <c r="AB264" s="22" t="n"/>
      <c r="AC264" s="19" t="n"/>
      <c r="AD264" s="21">
        <f>IF(AE264="",0,1)</f>
        <v/>
      </c>
      <c r="AE264" s="21">
        <f>IFERROR(TRIM(INDEX($A264:$X264,MATCH(Lists!$F$2,$A$1:$X$1,0))&amp;""),"")</f>
        <v/>
      </c>
      <c r="AF264" s="21">
        <f>IF(AE264="","",IFERROR(TRIM(INDEX($A264:$X264,MATCH(Lists!$F$3,$A$1:$X$1,0))&amp;""),""))</f>
        <v/>
      </c>
      <c r="AG264" s="21">
        <f>IF(AE264="","",IFERROR(TRIM(INDEX($A264:$X264,MATCH(Lists!$F$4,$A$1:$X$1,0))&amp;""),""))</f>
        <v/>
      </c>
      <c r="AH264" s="21">
        <f>IF(AE264="","",LOWER(IFERROR(TRIM(INDEX($A264:$X264,MATCH(Lists!$F$5,$A$1:$X$1,0))&amp;""),"")))</f>
        <v/>
      </c>
      <c r="AI264" s="21">
        <f>IF(AE264="","",IFERROR(TRIM(INDEX($A264:$X264,MATCH(Lists!$F$6,$A$1:$X$1,0))&amp;""),""))</f>
        <v/>
      </c>
      <c r="AJ264" s="21">
        <f>IF(AE264="","",IF(LEFT(IFERROR(TRIM(INDEX($A264:$X264,MATCH(Lists!$F$7,$A$1:$X$1,0))&amp;""),""),3)="Yes","Yes","No"))</f>
        <v/>
      </c>
      <c r="AK264" s="21">
        <f>IF(AE264="","",IFERROR(TRIM(INDEX($A264:$X264,MATCH(Lists!$F$8,$A$1:$X$1,0))&amp;""),""))</f>
        <v/>
      </c>
      <c r="AL264" s="21">
        <f>IF(AE264="","",IFERROR(IF(TRIM(INDEX($A264:$X264,MATCH(Lists!$F$9,$A$1:$X$1,0))&amp;"")="","",VALUE(TRIM(INDEX($A264:$X264,MATCH(Lists!$F$9,$A$1:$X$1,0))&amp;""))),""))</f>
        <v/>
      </c>
      <c r="AM264" s="21">
        <f>IF(AE264="","",IFERROR(TRIM(INDEX($A264:$X264,MATCH(Lists!$F$10,$A$1:$X$1,0))&amp;""),""))</f>
        <v/>
      </c>
      <c r="AN264" s="21">
        <f>IF(AE264="","",IF(OR(AM264="Paid",AM264="Partially refunded"),"Paid",IF(Z264="Yes","Paid (by hand)",IF(AM264&lt;&gt;"",AM264,"Unpaid"))))</f>
        <v/>
      </c>
      <c r="AO264" s="21">
        <f>IF(AD264=1,COUNTIFS($AE$2:$AE$301,"&lt;"&amp;AE264,$AD$2:$AD$301,1)+COUNTIF($AE$2:AE264,AE264),"")</f>
        <v/>
      </c>
    </row>
    <row r="265">
      <c r="Y265" s="19" t="n"/>
      <c r="Z265" s="22" t="n"/>
      <c r="AA265" s="22" t="n"/>
      <c r="AB265" s="22" t="n"/>
      <c r="AC265" s="19" t="n"/>
      <c r="AD265" s="21">
        <f>IF(AE265="",0,1)</f>
        <v/>
      </c>
      <c r="AE265" s="21">
        <f>IFERROR(TRIM(INDEX($A265:$X265,MATCH(Lists!$F$2,$A$1:$X$1,0))&amp;""),"")</f>
        <v/>
      </c>
      <c r="AF265" s="21">
        <f>IF(AE265="","",IFERROR(TRIM(INDEX($A265:$X265,MATCH(Lists!$F$3,$A$1:$X$1,0))&amp;""),""))</f>
        <v/>
      </c>
      <c r="AG265" s="21">
        <f>IF(AE265="","",IFERROR(TRIM(INDEX($A265:$X265,MATCH(Lists!$F$4,$A$1:$X$1,0))&amp;""),""))</f>
        <v/>
      </c>
      <c r="AH265" s="21">
        <f>IF(AE265="","",LOWER(IFERROR(TRIM(INDEX($A265:$X265,MATCH(Lists!$F$5,$A$1:$X$1,0))&amp;""),"")))</f>
        <v/>
      </c>
      <c r="AI265" s="21">
        <f>IF(AE265="","",IFERROR(TRIM(INDEX($A265:$X265,MATCH(Lists!$F$6,$A$1:$X$1,0))&amp;""),""))</f>
        <v/>
      </c>
      <c r="AJ265" s="21">
        <f>IF(AE265="","",IF(LEFT(IFERROR(TRIM(INDEX($A265:$X265,MATCH(Lists!$F$7,$A$1:$X$1,0))&amp;""),""),3)="Yes","Yes","No"))</f>
        <v/>
      </c>
      <c r="AK265" s="21">
        <f>IF(AE265="","",IFERROR(TRIM(INDEX($A265:$X265,MATCH(Lists!$F$8,$A$1:$X$1,0))&amp;""),""))</f>
        <v/>
      </c>
      <c r="AL265" s="21">
        <f>IF(AE265="","",IFERROR(IF(TRIM(INDEX($A265:$X265,MATCH(Lists!$F$9,$A$1:$X$1,0))&amp;"")="","",VALUE(TRIM(INDEX($A265:$X265,MATCH(Lists!$F$9,$A$1:$X$1,0))&amp;""))),""))</f>
        <v/>
      </c>
      <c r="AM265" s="21">
        <f>IF(AE265="","",IFERROR(TRIM(INDEX($A265:$X265,MATCH(Lists!$F$10,$A$1:$X$1,0))&amp;""),""))</f>
        <v/>
      </c>
      <c r="AN265" s="21">
        <f>IF(AE265="","",IF(OR(AM265="Paid",AM265="Partially refunded"),"Paid",IF(Z265="Yes","Paid (by hand)",IF(AM265&lt;&gt;"",AM265,"Unpaid"))))</f>
        <v/>
      </c>
      <c r="AO265" s="21">
        <f>IF(AD265=1,COUNTIFS($AE$2:$AE$301,"&lt;"&amp;AE265,$AD$2:$AD$301,1)+COUNTIF($AE$2:AE265,AE265),"")</f>
        <v/>
      </c>
    </row>
    <row r="266">
      <c r="Y266" s="19" t="n"/>
      <c r="Z266" s="22" t="n"/>
      <c r="AA266" s="22" t="n"/>
      <c r="AB266" s="22" t="n"/>
      <c r="AC266" s="19" t="n"/>
      <c r="AD266" s="21">
        <f>IF(AE266="",0,1)</f>
        <v/>
      </c>
      <c r="AE266" s="21">
        <f>IFERROR(TRIM(INDEX($A266:$X266,MATCH(Lists!$F$2,$A$1:$X$1,0))&amp;""),"")</f>
        <v/>
      </c>
      <c r="AF266" s="21">
        <f>IF(AE266="","",IFERROR(TRIM(INDEX($A266:$X266,MATCH(Lists!$F$3,$A$1:$X$1,0))&amp;""),""))</f>
        <v/>
      </c>
      <c r="AG266" s="21">
        <f>IF(AE266="","",IFERROR(TRIM(INDEX($A266:$X266,MATCH(Lists!$F$4,$A$1:$X$1,0))&amp;""),""))</f>
        <v/>
      </c>
      <c r="AH266" s="21">
        <f>IF(AE266="","",LOWER(IFERROR(TRIM(INDEX($A266:$X266,MATCH(Lists!$F$5,$A$1:$X$1,0))&amp;""),"")))</f>
        <v/>
      </c>
      <c r="AI266" s="21">
        <f>IF(AE266="","",IFERROR(TRIM(INDEX($A266:$X266,MATCH(Lists!$F$6,$A$1:$X$1,0))&amp;""),""))</f>
        <v/>
      </c>
      <c r="AJ266" s="21">
        <f>IF(AE266="","",IF(LEFT(IFERROR(TRIM(INDEX($A266:$X266,MATCH(Lists!$F$7,$A$1:$X$1,0))&amp;""),""),3)="Yes","Yes","No"))</f>
        <v/>
      </c>
      <c r="AK266" s="21">
        <f>IF(AE266="","",IFERROR(TRIM(INDEX($A266:$X266,MATCH(Lists!$F$8,$A$1:$X$1,0))&amp;""),""))</f>
        <v/>
      </c>
      <c r="AL266" s="21">
        <f>IF(AE266="","",IFERROR(IF(TRIM(INDEX($A266:$X266,MATCH(Lists!$F$9,$A$1:$X$1,0))&amp;"")="","",VALUE(TRIM(INDEX($A266:$X266,MATCH(Lists!$F$9,$A$1:$X$1,0))&amp;""))),""))</f>
        <v/>
      </c>
      <c r="AM266" s="21">
        <f>IF(AE266="","",IFERROR(TRIM(INDEX($A266:$X266,MATCH(Lists!$F$10,$A$1:$X$1,0))&amp;""),""))</f>
        <v/>
      </c>
      <c r="AN266" s="21">
        <f>IF(AE266="","",IF(OR(AM266="Paid",AM266="Partially refunded"),"Paid",IF(Z266="Yes","Paid (by hand)",IF(AM266&lt;&gt;"",AM266,"Unpaid"))))</f>
        <v/>
      </c>
      <c r="AO266" s="21">
        <f>IF(AD266=1,COUNTIFS($AE$2:$AE$301,"&lt;"&amp;AE266,$AD$2:$AD$301,1)+COUNTIF($AE$2:AE266,AE266),"")</f>
        <v/>
      </c>
    </row>
    <row r="267">
      <c r="Y267" s="19" t="n"/>
      <c r="Z267" s="22" t="n"/>
      <c r="AA267" s="22" t="n"/>
      <c r="AB267" s="22" t="n"/>
      <c r="AC267" s="19" t="n"/>
      <c r="AD267" s="21">
        <f>IF(AE267="",0,1)</f>
        <v/>
      </c>
      <c r="AE267" s="21">
        <f>IFERROR(TRIM(INDEX($A267:$X267,MATCH(Lists!$F$2,$A$1:$X$1,0))&amp;""),"")</f>
        <v/>
      </c>
      <c r="AF267" s="21">
        <f>IF(AE267="","",IFERROR(TRIM(INDEX($A267:$X267,MATCH(Lists!$F$3,$A$1:$X$1,0))&amp;""),""))</f>
        <v/>
      </c>
      <c r="AG267" s="21">
        <f>IF(AE267="","",IFERROR(TRIM(INDEX($A267:$X267,MATCH(Lists!$F$4,$A$1:$X$1,0))&amp;""),""))</f>
        <v/>
      </c>
      <c r="AH267" s="21">
        <f>IF(AE267="","",LOWER(IFERROR(TRIM(INDEX($A267:$X267,MATCH(Lists!$F$5,$A$1:$X$1,0))&amp;""),"")))</f>
        <v/>
      </c>
      <c r="AI267" s="21">
        <f>IF(AE267="","",IFERROR(TRIM(INDEX($A267:$X267,MATCH(Lists!$F$6,$A$1:$X$1,0))&amp;""),""))</f>
        <v/>
      </c>
      <c r="AJ267" s="21">
        <f>IF(AE267="","",IF(LEFT(IFERROR(TRIM(INDEX($A267:$X267,MATCH(Lists!$F$7,$A$1:$X$1,0))&amp;""),""),3)="Yes","Yes","No"))</f>
        <v/>
      </c>
      <c r="AK267" s="21">
        <f>IF(AE267="","",IFERROR(TRIM(INDEX($A267:$X267,MATCH(Lists!$F$8,$A$1:$X$1,0))&amp;""),""))</f>
        <v/>
      </c>
      <c r="AL267" s="21">
        <f>IF(AE267="","",IFERROR(IF(TRIM(INDEX($A267:$X267,MATCH(Lists!$F$9,$A$1:$X$1,0))&amp;"")="","",VALUE(TRIM(INDEX($A267:$X267,MATCH(Lists!$F$9,$A$1:$X$1,0))&amp;""))),""))</f>
        <v/>
      </c>
      <c r="AM267" s="21">
        <f>IF(AE267="","",IFERROR(TRIM(INDEX($A267:$X267,MATCH(Lists!$F$10,$A$1:$X$1,0))&amp;""),""))</f>
        <v/>
      </c>
      <c r="AN267" s="21">
        <f>IF(AE267="","",IF(OR(AM267="Paid",AM267="Partially refunded"),"Paid",IF(Z267="Yes","Paid (by hand)",IF(AM267&lt;&gt;"",AM267,"Unpaid"))))</f>
        <v/>
      </c>
      <c r="AO267" s="21">
        <f>IF(AD267=1,COUNTIFS($AE$2:$AE$301,"&lt;"&amp;AE267,$AD$2:$AD$301,1)+COUNTIF($AE$2:AE267,AE267),"")</f>
        <v/>
      </c>
    </row>
    <row r="268">
      <c r="Y268" s="19" t="n"/>
      <c r="Z268" s="22" t="n"/>
      <c r="AA268" s="22" t="n"/>
      <c r="AB268" s="22" t="n"/>
      <c r="AC268" s="19" t="n"/>
      <c r="AD268" s="21">
        <f>IF(AE268="",0,1)</f>
        <v/>
      </c>
      <c r="AE268" s="21">
        <f>IFERROR(TRIM(INDEX($A268:$X268,MATCH(Lists!$F$2,$A$1:$X$1,0))&amp;""),"")</f>
        <v/>
      </c>
      <c r="AF268" s="21">
        <f>IF(AE268="","",IFERROR(TRIM(INDEX($A268:$X268,MATCH(Lists!$F$3,$A$1:$X$1,0))&amp;""),""))</f>
        <v/>
      </c>
      <c r="AG268" s="21">
        <f>IF(AE268="","",IFERROR(TRIM(INDEX($A268:$X268,MATCH(Lists!$F$4,$A$1:$X$1,0))&amp;""),""))</f>
        <v/>
      </c>
      <c r="AH268" s="21">
        <f>IF(AE268="","",LOWER(IFERROR(TRIM(INDEX($A268:$X268,MATCH(Lists!$F$5,$A$1:$X$1,0))&amp;""),"")))</f>
        <v/>
      </c>
      <c r="AI268" s="21">
        <f>IF(AE268="","",IFERROR(TRIM(INDEX($A268:$X268,MATCH(Lists!$F$6,$A$1:$X$1,0))&amp;""),""))</f>
        <v/>
      </c>
      <c r="AJ268" s="21">
        <f>IF(AE268="","",IF(LEFT(IFERROR(TRIM(INDEX($A268:$X268,MATCH(Lists!$F$7,$A$1:$X$1,0))&amp;""),""),3)="Yes","Yes","No"))</f>
        <v/>
      </c>
      <c r="AK268" s="21">
        <f>IF(AE268="","",IFERROR(TRIM(INDEX($A268:$X268,MATCH(Lists!$F$8,$A$1:$X$1,0))&amp;""),""))</f>
        <v/>
      </c>
      <c r="AL268" s="21">
        <f>IF(AE268="","",IFERROR(IF(TRIM(INDEX($A268:$X268,MATCH(Lists!$F$9,$A$1:$X$1,0))&amp;"")="","",VALUE(TRIM(INDEX($A268:$X268,MATCH(Lists!$F$9,$A$1:$X$1,0))&amp;""))),""))</f>
        <v/>
      </c>
      <c r="AM268" s="21">
        <f>IF(AE268="","",IFERROR(TRIM(INDEX($A268:$X268,MATCH(Lists!$F$10,$A$1:$X$1,0))&amp;""),""))</f>
        <v/>
      </c>
      <c r="AN268" s="21">
        <f>IF(AE268="","",IF(OR(AM268="Paid",AM268="Partially refunded"),"Paid",IF(Z268="Yes","Paid (by hand)",IF(AM268&lt;&gt;"",AM268,"Unpaid"))))</f>
        <v/>
      </c>
      <c r="AO268" s="21">
        <f>IF(AD268=1,COUNTIFS($AE$2:$AE$301,"&lt;"&amp;AE268,$AD$2:$AD$301,1)+COUNTIF($AE$2:AE268,AE268),"")</f>
        <v/>
      </c>
    </row>
    <row r="269">
      <c r="Y269" s="19" t="n"/>
      <c r="Z269" s="22" t="n"/>
      <c r="AA269" s="22" t="n"/>
      <c r="AB269" s="22" t="n"/>
      <c r="AC269" s="19" t="n"/>
      <c r="AD269" s="21">
        <f>IF(AE269="",0,1)</f>
        <v/>
      </c>
      <c r="AE269" s="21">
        <f>IFERROR(TRIM(INDEX($A269:$X269,MATCH(Lists!$F$2,$A$1:$X$1,0))&amp;""),"")</f>
        <v/>
      </c>
      <c r="AF269" s="21">
        <f>IF(AE269="","",IFERROR(TRIM(INDEX($A269:$X269,MATCH(Lists!$F$3,$A$1:$X$1,0))&amp;""),""))</f>
        <v/>
      </c>
      <c r="AG269" s="21">
        <f>IF(AE269="","",IFERROR(TRIM(INDEX($A269:$X269,MATCH(Lists!$F$4,$A$1:$X$1,0))&amp;""),""))</f>
        <v/>
      </c>
      <c r="AH269" s="21">
        <f>IF(AE269="","",LOWER(IFERROR(TRIM(INDEX($A269:$X269,MATCH(Lists!$F$5,$A$1:$X$1,0))&amp;""),"")))</f>
        <v/>
      </c>
      <c r="AI269" s="21">
        <f>IF(AE269="","",IFERROR(TRIM(INDEX($A269:$X269,MATCH(Lists!$F$6,$A$1:$X$1,0))&amp;""),""))</f>
        <v/>
      </c>
      <c r="AJ269" s="21">
        <f>IF(AE269="","",IF(LEFT(IFERROR(TRIM(INDEX($A269:$X269,MATCH(Lists!$F$7,$A$1:$X$1,0))&amp;""),""),3)="Yes","Yes","No"))</f>
        <v/>
      </c>
      <c r="AK269" s="21">
        <f>IF(AE269="","",IFERROR(TRIM(INDEX($A269:$X269,MATCH(Lists!$F$8,$A$1:$X$1,0))&amp;""),""))</f>
        <v/>
      </c>
      <c r="AL269" s="21">
        <f>IF(AE269="","",IFERROR(IF(TRIM(INDEX($A269:$X269,MATCH(Lists!$F$9,$A$1:$X$1,0))&amp;"")="","",VALUE(TRIM(INDEX($A269:$X269,MATCH(Lists!$F$9,$A$1:$X$1,0))&amp;""))),""))</f>
        <v/>
      </c>
      <c r="AM269" s="21">
        <f>IF(AE269="","",IFERROR(TRIM(INDEX($A269:$X269,MATCH(Lists!$F$10,$A$1:$X$1,0))&amp;""),""))</f>
        <v/>
      </c>
      <c r="AN269" s="21">
        <f>IF(AE269="","",IF(OR(AM269="Paid",AM269="Partially refunded"),"Paid",IF(Z269="Yes","Paid (by hand)",IF(AM269&lt;&gt;"",AM269,"Unpaid"))))</f>
        <v/>
      </c>
      <c r="AO269" s="21">
        <f>IF(AD269=1,COUNTIFS($AE$2:$AE$301,"&lt;"&amp;AE269,$AD$2:$AD$301,1)+COUNTIF($AE$2:AE269,AE269),"")</f>
        <v/>
      </c>
    </row>
    <row r="270">
      <c r="Y270" s="19" t="n"/>
      <c r="Z270" s="22" t="n"/>
      <c r="AA270" s="22" t="n"/>
      <c r="AB270" s="22" t="n"/>
      <c r="AC270" s="19" t="n"/>
      <c r="AD270" s="21">
        <f>IF(AE270="",0,1)</f>
        <v/>
      </c>
      <c r="AE270" s="21">
        <f>IFERROR(TRIM(INDEX($A270:$X270,MATCH(Lists!$F$2,$A$1:$X$1,0))&amp;""),"")</f>
        <v/>
      </c>
      <c r="AF270" s="21">
        <f>IF(AE270="","",IFERROR(TRIM(INDEX($A270:$X270,MATCH(Lists!$F$3,$A$1:$X$1,0))&amp;""),""))</f>
        <v/>
      </c>
      <c r="AG270" s="21">
        <f>IF(AE270="","",IFERROR(TRIM(INDEX($A270:$X270,MATCH(Lists!$F$4,$A$1:$X$1,0))&amp;""),""))</f>
        <v/>
      </c>
      <c r="AH270" s="21">
        <f>IF(AE270="","",LOWER(IFERROR(TRIM(INDEX($A270:$X270,MATCH(Lists!$F$5,$A$1:$X$1,0))&amp;""),"")))</f>
        <v/>
      </c>
      <c r="AI270" s="21">
        <f>IF(AE270="","",IFERROR(TRIM(INDEX($A270:$X270,MATCH(Lists!$F$6,$A$1:$X$1,0))&amp;""),""))</f>
        <v/>
      </c>
      <c r="AJ270" s="21">
        <f>IF(AE270="","",IF(LEFT(IFERROR(TRIM(INDEX($A270:$X270,MATCH(Lists!$F$7,$A$1:$X$1,0))&amp;""),""),3)="Yes","Yes","No"))</f>
        <v/>
      </c>
      <c r="AK270" s="21">
        <f>IF(AE270="","",IFERROR(TRIM(INDEX($A270:$X270,MATCH(Lists!$F$8,$A$1:$X$1,0))&amp;""),""))</f>
        <v/>
      </c>
      <c r="AL270" s="21">
        <f>IF(AE270="","",IFERROR(IF(TRIM(INDEX($A270:$X270,MATCH(Lists!$F$9,$A$1:$X$1,0))&amp;"")="","",VALUE(TRIM(INDEX($A270:$X270,MATCH(Lists!$F$9,$A$1:$X$1,0))&amp;""))),""))</f>
        <v/>
      </c>
      <c r="AM270" s="21">
        <f>IF(AE270="","",IFERROR(TRIM(INDEX($A270:$X270,MATCH(Lists!$F$10,$A$1:$X$1,0))&amp;""),""))</f>
        <v/>
      </c>
      <c r="AN270" s="21">
        <f>IF(AE270="","",IF(OR(AM270="Paid",AM270="Partially refunded"),"Paid",IF(Z270="Yes","Paid (by hand)",IF(AM270&lt;&gt;"",AM270,"Unpaid"))))</f>
        <v/>
      </c>
      <c r="AO270" s="21">
        <f>IF(AD270=1,COUNTIFS($AE$2:$AE$301,"&lt;"&amp;AE270,$AD$2:$AD$301,1)+COUNTIF($AE$2:AE270,AE270),"")</f>
        <v/>
      </c>
    </row>
    <row r="271">
      <c r="Y271" s="19" t="n"/>
      <c r="Z271" s="22" t="n"/>
      <c r="AA271" s="22" t="n"/>
      <c r="AB271" s="22" t="n"/>
      <c r="AC271" s="19" t="n"/>
      <c r="AD271" s="21">
        <f>IF(AE271="",0,1)</f>
        <v/>
      </c>
      <c r="AE271" s="21">
        <f>IFERROR(TRIM(INDEX($A271:$X271,MATCH(Lists!$F$2,$A$1:$X$1,0))&amp;""),"")</f>
        <v/>
      </c>
      <c r="AF271" s="21">
        <f>IF(AE271="","",IFERROR(TRIM(INDEX($A271:$X271,MATCH(Lists!$F$3,$A$1:$X$1,0))&amp;""),""))</f>
        <v/>
      </c>
      <c r="AG271" s="21">
        <f>IF(AE271="","",IFERROR(TRIM(INDEX($A271:$X271,MATCH(Lists!$F$4,$A$1:$X$1,0))&amp;""),""))</f>
        <v/>
      </c>
      <c r="AH271" s="21">
        <f>IF(AE271="","",LOWER(IFERROR(TRIM(INDEX($A271:$X271,MATCH(Lists!$F$5,$A$1:$X$1,0))&amp;""),"")))</f>
        <v/>
      </c>
      <c r="AI271" s="21">
        <f>IF(AE271="","",IFERROR(TRIM(INDEX($A271:$X271,MATCH(Lists!$F$6,$A$1:$X$1,0))&amp;""),""))</f>
        <v/>
      </c>
      <c r="AJ271" s="21">
        <f>IF(AE271="","",IF(LEFT(IFERROR(TRIM(INDEX($A271:$X271,MATCH(Lists!$F$7,$A$1:$X$1,0))&amp;""),""),3)="Yes","Yes","No"))</f>
        <v/>
      </c>
      <c r="AK271" s="21">
        <f>IF(AE271="","",IFERROR(TRIM(INDEX($A271:$X271,MATCH(Lists!$F$8,$A$1:$X$1,0))&amp;""),""))</f>
        <v/>
      </c>
      <c r="AL271" s="21">
        <f>IF(AE271="","",IFERROR(IF(TRIM(INDEX($A271:$X271,MATCH(Lists!$F$9,$A$1:$X$1,0))&amp;"")="","",VALUE(TRIM(INDEX($A271:$X271,MATCH(Lists!$F$9,$A$1:$X$1,0))&amp;""))),""))</f>
        <v/>
      </c>
      <c r="AM271" s="21">
        <f>IF(AE271="","",IFERROR(TRIM(INDEX($A271:$X271,MATCH(Lists!$F$10,$A$1:$X$1,0))&amp;""),""))</f>
        <v/>
      </c>
      <c r="AN271" s="21">
        <f>IF(AE271="","",IF(OR(AM271="Paid",AM271="Partially refunded"),"Paid",IF(Z271="Yes","Paid (by hand)",IF(AM271&lt;&gt;"",AM271,"Unpaid"))))</f>
        <v/>
      </c>
      <c r="AO271" s="21">
        <f>IF(AD271=1,COUNTIFS($AE$2:$AE$301,"&lt;"&amp;AE271,$AD$2:$AD$301,1)+COUNTIF($AE$2:AE271,AE271),"")</f>
        <v/>
      </c>
    </row>
    <row r="272">
      <c r="Y272" s="19" t="n"/>
      <c r="Z272" s="22" t="n"/>
      <c r="AA272" s="22" t="n"/>
      <c r="AB272" s="22" t="n"/>
      <c r="AC272" s="19" t="n"/>
      <c r="AD272" s="21">
        <f>IF(AE272="",0,1)</f>
        <v/>
      </c>
      <c r="AE272" s="21">
        <f>IFERROR(TRIM(INDEX($A272:$X272,MATCH(Lists!$F$2,$A$1:$X$1,0))&amp;""),"")</f>
        <v/>
      </c>
      <c r="AF272" s="21">
        <f>IF(AE272="","",IFERROR(TRIM(INDEX($A272:$X272,MATCH(Lists!$F$3,$A$1:$X$1,0))&amp;""),""))</f>
        <v/>
      </c>
      <c r="AG272" s="21">
        <f>IF(AE272="","",IFERROR(TRIM(INDEX($A272:$X272,MATCH(Lists!$F$4,$A$1:$X$1,0))&amp;""),""))</f>
        <v/>
      </c>
      <c r="AH272" s="21">
        <f>IF(AE272="","",LOWER(IFERROR(TRIM(INDEX($A272:$X272,MATCH(Lists!$F$5,$A$1:$X$1,0))&amp;""),"")))</f>
        <v/>
      </c>
      <c r="AI272" s="21">
        <f>IF(AE272="","",IFERROR(TRIM(INDEX($A272:$X272,MATCH(Lists!$F$6,$A$1:$X$1,0))&amp;""),""))</f>
        <v/>
      </c>
      <c r="AJ272" s="21">
        <f>IF(AE272="","",IF(LEFT(IFERROR(TRIM(INDEX($A272:$X272,MATCH(Lists!$F$7,$A$1:$X$1,0))&amp;""),""),3)="Yes","Yes","No"))</f>
        <v/>
      </c>
      <c r="AK272" s="21">
        <f>IF(AE272="","",IFERROR(TRIM(INDEX($A272:$X272,MATCH(Lists!$F$8,$A$1:$X$1,0))&amp;""),""))</f>
        <v/>
      </c>
      <c r="AL272" s="21">
        <f>IF(AE272="","",IFERROR(IF(TRIM(INDEX($A272:$X272,MATCH(Lists!$F$9,$A$1:$X$1,0))&amp;"")="","",VALUE(TRIM(INDEX($A272:$X272,MATCH(Lists!$F$9,$A$1:$X$1,0))&amp;""))),""))</f>
        <v/>
      </c>
      <c r="AM272" s="21">
        <f>IF(AE272="","",IFERROR(TRIM(INDEX($A272:$X272,MATCH(Lists!$F$10,$A$1:$X$1,0))&amp;""),""))</f>
        <v/>
      </c>
      <c r="AN272" s="21">
        <f>IF(AE272="","",IF(OR(AM272="Paid",AM272="Partially refunded"),"Paid",IF(Z272="Yes","Paid (by hand)",IF(AM272&lt;&gt;"",AM272,"Unpaid"))))</f>
        <v/>
      </c>
      <c r="AO272" s="21">
        <f>IF(AD272=1,COUNTIFS($AE$2:$AE$301,"&lt;"&amp;AE272,$AD$2:$AD$301,1)+COUNTIF($AE$2:AE272,AE272),"")</f>
        <v/>
      </c>
    </row>
    <row r="273">
      <c r="Y273" s="19" t="n"/>
      <c r="Z273" s="22" t="n"/>
      <c r="AA273" s="22" t="n"/>
      <c r="AB273" s="22" t="n"/>
      <c r="AC273" s="19" t="n"/>
      <c r="AD273" s="21">
        <f>IF(AE273="",0,1)</f>
        <v/>
      </c>
      <c r="AE273" s="21">
        <f>IFERROR(TRIM(INDEX($A273:$X273,MATCH(Lists!$F$2,$A$1:$X$1,0))&amp;""),"")</f>
        <v/>
      </c>
      <c r="AF273" s="21">
        <f>IF(AE273="","",IFERROR(TRIM(INDEX($A273:$X273,MATCH(Lists!$F$3,$A$1:$X$1,0))&amp;""),""))</f>
        <v/>
      </c>
      <c r="AG273" s="21">
        <f>IF(AE273="","",IFERROR(TRIM(INDEX($A273:$X273,MATCH(Lists!$F$4,$A$1:$X$1,0))&amp;""),""))</f>
        <v/>
      </c>
      <c r="AH273" s="21">
        <f>IF(AE273="","",LOWER(IFERROR(TRIM(INDEX($A273:$X273,MATCH(Lists!$F$5,$A$1:$X$1,0))&amp;""),"")))</f>
        <v/>
      </c>
      <c r="AI273" s="21">
        <f>IF(AE273="","",IFERROR(TRIM(INDEX($A273:$X273,MATCH(Lists!$F$6,$A$1:$X$1,0))&amp;""),""))</f>
        <v/>
      </c>
      <c r="AJ273" s="21">
        <f>IF(AE273="","",IF(LEFT(IFERROR(TRIM(INDEX($A273:$X273,MATCH(Lists!$F$7,$A$1:$X$1,0))&amp;""),""),3)="Yes","Yes","No"))</f>
        <v/>
      </c>
      <c r="AK273" s="21">
        <f>IF(AE273="","",IFERROR(TRIM(INDEX($A273:$X273,MATCH(Lists!$F$8,$A$1:$X$1,0))&amp;""),""))</f>
        <v/>
      </c>
      <c r="AL273" s="21">
        <f>IF(AE273="","",IFERROR(IF(TRIM(INDEX($A273:$X273,MATCH(Lists!$F$9,$A$1:$X$1,0))&amp;"")="","",VALUE(TRIM(INDEX($A273:$X273,MATCH(Lists!$F$9,$A$1:$X$1,0))&amp;""))),""))</f>
        <v/>
      </c>
      <c r="AM273" s="21">
        <f>IF(AE273="","",IFERROR(TRIM(INDEX($A273:$X273,MATCH(Lists!$F$10,$A$1:$X$1,0))&amp;""),""))</f>
        <v/>
      </c>
      <c r="AN273" s="21">
        <f>IF(AE273="","",IF(OR(AM273="Paid",AM273="Partially refunded"),"Paid",IF(Z273="Yes","Paid (by hand)",IF(AM273&lt;&gt;"",AM273,"Unpaid"))))</f>
        <v/>
      </c>
      <c r="AO273" s="21">
        <f>IF(AD273=1,COUNTIFS($AE$2:$AE$301,"&lt;"&amp;AE273,$AD$2:$AD$301,1)+COUNTIF($AE$2:AE273,AE273),"")</f>
        <v/>
      </c>
    </row>
    <row r="274">
      <c r="Y274" s="19" t="n"/>
      <c r="Z274" s="22" t="n"/>
      <c r="AA274" s="22" t="n"/>
      <c r="AB274" s="22" t="n"/>
      <c r="AC274" s="19" t="n"/>
      <c r="AD274" s="21">
        <f>IF(AE274="",0,1)</f>
        <v/>
      </c>
      <c r="AE274" s="21">
        <f>IFERROR(TRIM(INDEX($A274:$X274,MATCH(Lists!$F$2,$A$1:$X$1,0))&amp;""),"")</f>
        <v/>
      </c>
      <c r="AF274" s="21">
        <f>IF(AE274="","",IFERROR(TRIM(INDEX($A274:$X274,MATCH(Lists!$F$3,$A$1:$X$1,0))&amp;""),""))</f>
        <v/>
      </c>
      <c r="AG274" s="21">
        <f>IF(AE274="","",IFERROR(TRIM(INDEX($A274:$X274,MATCH(Lists!$F$4,$A$1:$X$1,0))&amp;""),""))</f>
        <v/>
      </c>
      <c r="AH274" s="21">
        <f>IF(AE274="","",LOWER(IFERROR(TRIM(INDEX($A274:$X274,MATCH(Lists!$F$5,$A$1:$X$1,0))&amp;""),"")))</f>
        <v/>
      </c>
      <c r="AI274" s="21">
        <f>IF(AE274="","",IFERROR(TRIM(INDEX($A274:$X274,MATCH(Lists!$F$6,$A$1:$X$1,0))&amp;""),""))</f>
        <v/>
      </c>
      <c r="AJ274" s="21">
        <f>IF(AE274="","",IF(LEFT(IFERROR(TRIM(INDEX($A274:$X274,MATCH(Lists!$F$7,$A$1:$X$1,0))&amp;""),""),3)="Yes","Yes","No"))</f>
        <v/>
      </c>
      <c r="AK274" s="21">
        <f>IF(AE274="","",IFERROR(TRIM(INDEX($A274:$X274,MATCH(Lists!$F$8,$A$1:$X$1,0))&amp;""),""))</f>
        <v/>
      </c>
      <c r="AL274" s="21">
        <f>IF(AE274="","",IFERROR(IF(TRIM(INDEX($A274:$X274,MATCH(Lists!$F$9,$A$1:$X$1,0))&amp;"")="","",VALUE(TRIM(INDEX($A274:$X274,MATCH(Lists!$F$9,$A$1:$X$1,0))&amp;""))),""))</f>
        <v/>
      </c>
      <c r="AM274" s="21">
        <f>IF(AE274="","",IFERROR(TRIM(INDEX($A274:$X274,MATCH(Lists!$F$10,$A$1:$X$1,0))&amp;""),""))</f>
        <v/>
      </c>
      <c r="AN274" s="21">
        <f>IF(AE274="","",IF(OR(AM274="Paid",AM274="Partially refunded"),"Paid",IF(Z274="Yes","Paid (by hand)",IF(AM274&lt;&gt;"",AM274,"Unpaid"))))</f>
        <v/>
      </c>
      <c r="AO274" s="21">
        <f>IF(AD274=1,COUNTIFS($AE$2:$AE$301,"&lt;"&amp;AE274,$AD$2:$AD$301,1)+COUNTIF($AE$2:AE274,AE274),"")</f>
        <v/>
      </c>
    </row>
    <row r="275">
      <c r="Y275" s="19" t="n"/>
      <c r="Z275" s="22" t="n"/>
      <c r="AA275" s="22" t="n"/>
      <c r="AB275" s="22" t="n"/>
      <c r="AC275" s="19" t="n"/>
      <c r="AD275" s="21">
        <f>IF(AE275="",0,1)</f>
        <v/>
      </c>
      <c r="AE275" s="21">
        <f>IFERROR(TRIM(INDEX($A275:$X275,MATCH(Lists!$F$2,$A$1:$X$1,0))&amp;""),"")</f>
        <v/>
      </c>
      <c r="AF275" s="21">
        <f>IF(AE275="","",IFERROR(TRIM(INDEX($A275:$X275,MATCH(Lists!$F$3,$A$1:$X$1,0))&amp;""),""))</f>
        <v/>
      </c>
      <c r="AG275" s="21">
        <f>IF(AE275="","",IFERROR(TRIM(INDEX($A275:$X275,MATCH(Lists!$F$4,$A$1:$X$1,0))&amp;""),""))</f>
        <v/>
      </c>
      <c r="AH275" s="21">
        <f>IF(AE275="","",LOWER(IFERROR(TRIM(INDEX($A275:$X275,MATCH(Lists!$F$5,$A$1:$X$1,0))&amp;""),"")))</f>
        <v/>
      </c>
      <c r="AI275" s="21">
        <f>IF(AE275="","",IFERROR(TRIM(INDEX($A275:$X275,MATCH(Lists!$F$6,$A$1:$X$1,0))&amp;""),""))</f>
        <v/>
      </c>
      <c r="AJ275" s="21">
        <f>IF(AE275="","",IF(LEFT(IFERROR(TRIM(INDEX($A275:$X275,MATCH(Lists!$F$7,$A$1:$X$1,0))&amp;""),""),3)="Yes","Yes","No"))</f>
        <v/>
      </c>
      <c r="AK275" s="21">
        <f>IF(AE275="","",IFERROR(TRIM(INDEX($A275:$X275,MATCH(Lists!$F$8,$A$1:$X$1,0))&amp;""),""))</f>
        <v/>
      </c>
      <c r="AL275" s="21">
        <f>IF(AE275="","",IFERROR(IF(TRIM(INDEX($A275:$X275,MATCH(Lists!$F$9,$A$1:$X$1,0))&amp;"")="","",VALUE(TRIM(INDEX($A275:$X275,MATCH(Lists!$F$9,$A$1:$X$1,0))&amp;""))),""))</f>
        <v/>
      </c>
      <c r="AM275" s="21">
        <f>IF(AE275="","",IFERROR(TRIM(INDEX($A275:$X275,MATCH(Lists!$F$10,$A$1:$X$1,0))&amp;""),""))</f>
        <v/>
      </c>
      <c r="AN275" s="21">
        <f>IF(AE275="","",IF(OR(AM275="Paid",AM275="Partially refunded"),"Paid",IF(Z275="Yes","Paid (by hand)",IF(AM275&lt;&gt;"",AM275,"Unpaid"))))</f>
        <v/>
      </c>
      <c r="AO275" s="21">
        <f>IF(AD275=1,COUNTIFS($AE$2:$AE$301,"&lt;"&amp;AE275,$AD$2:$AD$301,1)+COUNTIF($AE$2:AE275,AE275),"")</f>
        <v/>
      </c>
    </row>
    <row r="276">
      <c r="Y276" s="19" t="n"/>
      <c r="Z276" s="22" t="n"/>
      <c r="AA276" s="22" t="n"/>
      <c r="AB276" s="22" t="n"/>
      <c r="AC276" s="19" t="n"/>
      <c r="AD276" s="21">
        <f>IF(AE276="",0,1)</f>
        <v/>
      </c>
      <c r="AE276" s="21">
        <f>IFERROR(TRIM(INDEX($A276:$X276,MATCH(Lists!$F$2,$A$1:$X$1,0))&amp;""),"")</f>
        <v/>
      </c>
      <c r="AF276" s="21">
        <f>IF(AE276="","",IFERROR(TRIM(INDEX($A276:$X276,MATCH(Lists!$F$3,$A$1:$X$1,0))&amp;""),""))</f>
        <v/>
      </c>
      <c r="AG276" s="21">
        <f>IF(AE276="","",IFERROR(TRIM(INDEX($A276:$X276,MATCH(Lists!$F$4,$A$1:$X$1,0))&amp;""),""))</f>
        <v/>
      </c>
      <c r="AH276" s="21">
        <f>IF(AE276="","",LOWER(IFERROR(TRIM(INDEX($A276:$X276,MATCH(Lists!$F$5,$A$1:$X$1,0))&amp;""),"")))</f>
        <v/>
      </c>
      <c r="AI276" s="21">
        <f>IF(AE276="","",IFERROR(TRIM(INDEX($A276:$X276,MATCH(Lists!$F$6,$A$1:$X$1,0))&amp;""),""))</f>
        <v/>
      </c>
      <c r="AJ276" s="21">
        <f>IF(AE276="","",IF(LEFT(IFERROR(TRIM(INDEX($A276:$X276,MATCH(Lists!$F$7,$A$1:$X$1,0))&amp;""),""),3)="Yes","Yes","No"))</f>
        <v/>
      </c>
      <c r="AK276" s="21">
        <f>IF(AE276="","",IFERROR(TRIM(INDEX($A276:$X276,MATCH(Lists!$F$8,$A$1:$X$1,0))&amp;""),""))</f>
        <v/>
      </c>
      <c r="AL276" s="21">
        <f>IF(AE276="","",IFERROR(IF(TRIM(INDEX($A276:$X276,MATCH(Lists!$F$9,$A$1:$X$1,0))&amp;"")="","",VALUE(TRIM(INDEX($A276:$X276,MATCH(Lists!$F$9,$A$1:$X$1,0))&amp;""))),""))</f>
        <v/>
      </c>
      <c r="AM276" s="21">
        <f>IF(AE276="","",IFERROR(TRIM(INDEX($A276:$X276,MATCH(Lists!$F$10,$A$1:$X$1,0))&amp;""),""))</f>
        <v/>
      </c>
      <c r="AN276" s="21">
        <f>IF(AE276="","",IF(OR(AM276="Paid",AM276="Partially refunded"),"Paid",IF(Z276="Yes","Paid (by hand)",IF(AM276&lt;&gt;"",AM276,"Unpaid"))))</f>
        <v/>
      </c>
      <c r="AO276" s="21">
        <f>IF(AD276=1,COUNTIFS($AE$2:$AE$301,"&lt;"&amp;AE276,$AD$2:$AD$301,1)+COUNTIF($AE$2:AE276,AE276),"")</f>
        <v/>
      </c>
    </row>
    <row r="277">
      <c r="Y277" s="19" t="n"/>
      <c r="Z277" s="22" t="n"/>
      <c r="AA277" s="22" t="n"/>
      <c r="AB277" s="22" t="n"/>
      <c r="AC277" s="19" t="n"/>
      <c r="AD277" s="21">
        <f>IF(AE277="",0,1)</f>
        <v/>
      </c>
      <c r="AE277" s="21">
        <f>IFERROR(TRIM(INDEX($A277:$X277,MATCH(Lists!$F$2,$A$1:$X$1,0))&amp;""),"")</f>
        <v/>
      </c>
      <c r="AF277" s="21">
        <f>IF(AE277="","",IFERROR(TRIM(INDEX($A277:$X277,MATCH(Lists!$F$3,$A$1:$X$1,0))&amp;""),""))</f>
        <v/>
      </c>
      <c r="AG277" s="21">
        <f>IF(AE277="","",IFERROR(TRIM(INDEX($A277:$X277,MATCH(Lists!$F$4,$A$1:$X$1,0))&amp;""),""))</f>
        <v/>
      </c>
      <c r="AH277" s="21">
        <f>IF(AE277="","",LOWER(IFERROR(TRIM(INDEX($A277:$X277,MATCH(Lists!$F$5,$A$1:$X$1,0))&amp;""),"")))</f>
        <v/>
      </c>
      <c r="AI277" s="21">
        <f>IF(AE277="","",IFERROR(TRIM(INDEX($A277:$X277,MATCH(Lists!$F$6,$A$1:$X$1,0))&amp;""),""))</f>
        <v/>
      </c>
      <c r="AJ277" s="21">
        <f>IF(AE277="","",IF(LEFT(IFERROR(TRIM(INDEX($A277:$X277,MATCH(Lists!$F$7,$A$1:$X$1,0))&amp;""),""),3)="Yes","Yes","No"))</f>
        <v/>
      </c>
      <c r="AK277" s="21">
        <f>IF(AE277="","",IFERROR(TRIM(INDEX($A277:$X277,MATCH(Lists!$F$8,$A$1:$X$1,0))&amp;""),""))</f>
        <v/>
      </c>
      <c r="AL277" s="21">
        <f>IF(AE277="","",IFERROR(IF(TRIM(INDEX($A277:$X277,MATCH(Lists!$F$9,$A$1:$X$1,0))&amp;"")="","",VALUE(TRIM(INDEX($A277:$X277,MATCH(Lists!$F$9,$A$1:$X$1,0))&amp;""))),""))</f>
        <v/>
      </c>
      <c r="AM277" s="21">
        <f>IF(AE277="","",IFERROR(TRIM(INDEX($A277:$X277,MATCH(Lists!$F$10,$A$1:$X$1,0))&amp;""),""))</f>
        <v/>
      </c>
      <c r="AN277" s="21">
        <f>IF(AE277="","",IF(OR(AM277="Paid",AM277="Partially refunded"),"Paid",IF(Z277="Yes","Paid (by hand)",IF(AM277&lt;&gt;"",AM277,"Unpaid"))))</f>
        <v/>
      </c>
      <c r="AO277" s="21">
        <f>IF(AD277=1,COUNTIFS($AE$2:$AE$301,"&lt;"&amp;AE277,$AD$2:$AD$301,1)+COUNTIF($AE$2:AE277,AE277),"")</f>
        <v/>
      </c>
    </row>
    <row r="278">
      <c r="Y278" s="19" t="n"/>
      <c r="Z278" s="22" t="n"/>
      <c r="AA278" s="22" t="n"/>
      <c r="AB278" s="22" t="n"/>
      <c r="AC278" s="19" t="n"/>
      <c r="AD278" s="21">
        <f>IF(AE278="",0,1)</f>
        <v/>
      </c>
      <c r="AE278" s="21">
        <f>IFERROR(TRIM(INDEX($A278:$X278,MATCH(Lists!$F$2,$A$1:$X$1,0))&amp;""),"")</f>
        <v/>
      </c>
      <c r="AF278" s="21">
        <f>IF(AE278="","",IFERROR(TRIM(INDEX($A278:$X278,MATCH(Lists!$F$3,$A$1:$X$1,0))&amp;""),""))</f>
        <v/>
      </c>
      <c r="AG278" s="21">
        <f>IF(AE278="","",IFERROR(TRIM(INDEX($A278:$X278,MATCH(Lists!$F$4,$A$1:$X$1,0))&amp;""),""))</f>
        <v/>
      </c>
      <c r="AH278" s="21">
        <f>IF(AE278="","",LOWER(IFERROR(TRIM(INDEX($A278:$X278,MATCH(Lists!$F$5,$A$1:$X$1,0))&amp;""),"")))</f>
        <v/>
      </c>
      <c r="AI278" s="21">
        <f>IF(AE278="","",IFERROR(TRIM(INDEX($A278:$X278,MATCH(Lists!$F$6,$A$1:$X$1,0))&amp;""),""))</f>
        <v/>
      </c>
      <c r="AJ278" s="21">
        <f>IF(AE278="","",IF(LEFT(IFERROR(TRIM(INDEX($A278:$X278,MATCH(Lists!$F$7,$A$1:$X$1,0))&amp;""),""),3)="Yes","Yes","No"))</f>
        <v/>
      </c>
      <c r="AK278" s="21">
        <f>IF(AE278="","",IFERROR(TRIM(INDEX($A278:$X278,MATCH(Lists!$F$8,$A$1:$X$1,0))&amp;""),""))</f>
        <v/>
      </c>
      <c r="AL278" s="21">
        <f>IF(AE278="","",IFERROR(IF(TRIM(INDEX($A278:$X278,MATCH(Lists!$F$9,$A$1:$X$1,0))&amp;"")="","",VALUE(TRIM(INDEX($A278:$X278,MATCH(Lists!$F$9,$A$1:$X$1,0))&amp;""))),""))</f>
        <v/>
      </c>
      <c r="AM278" s="21">
        <f>IF(AE278="","",IFERROR(TRIM(INDEX($A278:$X278,MATCH(Lists!$F$10,$A$1:$X$1,0))&amp;""),""))</f>
        <v/>
      </c>
      <c r="AN278" s="21">
        <f>IF(AE278="","",IF(OR(AM278="Paid",AM278="Partially refunded"),"Paid",IF(Z278="Yes","Paid (by hand)",IF(AM278&lt;&gt;"",AM278,"Unpaid"))))</f>
        <v/>
      </c>
      <c r="AO278" s="21">
        <f>IF(AD278=1,COUNTIFS($AE$2:$AE$301,"&lt;"&amp;AE278,$AD$2:$AD$301,1)+COUNTIF($AE$2:AE278,AE278),"")</f>
        <v/>
      </c>
    </row>
    <row r="279">
      <c r="Y279" s="19" t="n"/>
      <c r="Z279" s="22" t="n"/>
      <c r="AA279" s="22" t="n"/>
      <c r="AB279" s="22" t="n"/>
      <c r="AC279" s="19" t="n"/>
      <c r="AD279" s="21">
        <f>IF(AE279="",0,1)</f>
        <v/>
      </c>
      <c r="AE279" s="21">
        <f>IFERROR(TRIM(INDEX($A279:$X279,MATCH(Lists!$F$2,$A$1:$X$1,0))&amp;""),"")</f>
        <v/>
      </c>
      <c r="AF279" s="21">
        <f>IF(AE279="","",IFERROR(TRIM(INDEX($A279:$X279,MATCH(Lists!$F$3,$A$1:$X$1,0))&amp;""),""))</f>
        <v/>
      </c>
      <c r="AG279" s="21">
        <f>IF(AE279="","",IFERROR(TRIM(INDEX($A279:$X279,MATCH(Lists!$F$4,$A$1:$X$1,0))&amp;""),""))</f>
        <v/>
      </c>
      <c r="AH279" s="21">
        <f>IF(AE279="","",LOWER(IFERROR(TRIM(INDEX($A279:$X279,MATCH(Lists!$F$5,$A$1:$X$1,0))&amp;""),"")))</f>
        <v/>
      </c>
      <c r="AI279" s="21">
        <f>IF(AE279="","",IFERROR(TRIM(INDEX($A279:$X279,MATCH(Lists!$F$6,$A$1:$X$1,0))&amp;""),""))</f>
        <v/>
      </c>
      <c r="AJ279" s="21">
        <f>IF(AE279="","",IF(LEFT(IFERROR(TRIM(INDEX($A279:$X279,MATCH(Lists!$F$7,$A$1:$X$1,0))&amp;""),""),3)="Yes","Yes","No"))</f>
        <v/>
      </c>
      <c r="AK279" s="21">
        <f>IF(AE279="","",IFERROR(TRIM(INDEX($A279:$X279,MATCH(Lists!$F$8,$A$1:$X$1,0))&amp;""),""))</f>
        <v/>
      </c>
      <c r="AL279" s="21">
        <f>IF(AE279="","",IFERROR(IF(TRIM(INDEX($A279:$X279,MATCH(Lists!$F$9,$A$1:$X$1,0))&amp;"")="","",VALUE(TRIM(INDEX($A279:$X279,MATCH(Lists!$F$9,$A$1:$X$1,0))&amp;""))),""))</f>
        <v/>
      </c>
      <c r="AM279" s="21">
        <f>IF(AE279="","",IFERROR(TRIM(INDEX($A279:$X279,MATCH(Lists!$F$10,$A$1:$X$1,0))&amp;""),""))</f>
        <v/>
      </c>
      <c r="AN279" s="21">
        <f>IF(AE279="","",IF(OR(AM279="Paid",AM279="Partially refunded"),"Paid",IF(Z279="Yes","Paid (by hand)",IF(AM279&lt;&gt;"",AM279,"Unpaid"))))</f>
        <v/>
      </c>
      <c r="AO279" s="21">
        <f>IF(AD279=1,COUNTIFS($AE$2:$AE$301,"&lt;"&amp;AE279,$AD$2:$AD$301,1)+COUNTIF($AE$2:AE279,AE279),"")</f>
        <v/>
      </c>
    </row>
    <row r="280">
      <c r="Y280" s="19" t="n"/>
      <c r="Z280" s="22" t="n"/>
      <c r="AA280" s="22" t="n"/>
      <c r="AB280" s="22" t="n"/>
      <c r="AC280" s="19" t="n"/>
      <c r="AD280" s="21">
        <f>IF(AE280="",0,1)</f>
        <v/>
      </c>
      <c r="AE280" s="21">
        <f>IFERROR(TRIM(INDEX($A280:$X280,MATCH(Lists!$F$2,$A$1:$X$1,0))&amp;""),"")</f>
        <v/>
      </c>
      <c r="AF280" s="21">
        <f>IF(AE280="","",IFERROR(TRIM(INDEX($A280:$X280,MATCH(Lists!$F$3,$A$1:$X$1,0))&amp;""),""))</f>
        <v/>
      </c>
      <c r="AG280" s="21">
        <f>IF(AE280="","",IFERROR(TRIM(INDEX($A280:$X280,MATCH(Lists!$F$4,$A$1:$X$1,0))&amp;""),""))</f>
        <v/>
      </c>
      <c r="AH280" s="21">
        <f>IF(AE280="","",LOWER(IFERROR(TRIM(INDEX($A280:$X280,MATCH(Lists!$F$5,$A$1:$X$1,0))&amp;""),"")))</f>
        <v/>
      </c>
      <c r="AI280" s="21">
        <f>IF(AE280="","",IFERROR(TRIM(INDEX($A280:$X280,MATCH(Lists!$F$6,$A$1:$X$1,0))&amp;""),""))</f>
        <v/>
      </c>
      <c r="AJ280" s="21">
        <f>IF(AE280="","",IF(LEFT(IFERROR(TRIM(INDEX($A280:$X280,MATCH(Lists!$F$7,$A$1:$X$1,0))&amp;""),""),3)="Yes","Yes","No"))</f>
        <v/>
      </c>
      <c r="AK280" s="21">
        <f>IF(AE280="","",IFERROR(TRIM(INDEX($A280:$X280,MATCH(Lists!$F$8,$A$1:$X$1,0))&amp;""),""))</f>
        <v/>
      </c>
      <c r="AL280" s="21">
        <f>IF(AE280="","",IFERROR(IF(TRIM(INDEX($A280:$X280,MATCH(Lists!$F$9,$A$1:$X$1,0))&amp;"")="","",VALUE(TRIM(INDEX($A280:$X280,MATCH(Lists!$F$9,$A$1:$X$1,0))&amp;""))),""))</f>
        <v/>
      </c>
      <c r="AM280" s="21">
        <f>IF(AE280="","",IFERROR(TRIM(INDEX($A280:$X280,MATCH(Lists!$F$10,$A$1:$X$1,0))&amp;""),""))</f>
        <v/>
      </c>
      <c r="AN280" s="21">
        <f>IF(AE280="","",IF(OR(AM280="Paid",AM280="Partially refunded"),"Paid",IF(Z280="Yes","Paid (by hand)",IF(AM280&lt;&gt;"",AM280,"Unpaid"))))</f>
        <v/>
      </c>
      <c r="AO280" s="21">
        <f>IF(AD280=1,COUNTIFS($AE$2:$AE$301,"&lt;"&amp;AE280,$AD$2:$AD$301,1)+COUNTIF($AE$2:AE280,AE280),"")</f>
        <v/>
      </c>
    </row>
    <row r="281">
      <c r="Y281" s="19" t="n"/>
      <c r="Z281" s="22" t="n"/>
      <c r="AA281" s="22" t="n"/>
      <c r="AB281" s="22" t="n"/>
      <c r="AC281" s="19" t="n"/>
      <c r="AD281" s="21">
        <f>IF(AE281="",0,1)</f>
        <v/>
      </c>
      <c r="AE281" s="21">
        <f>IFERROR(TRIM(INDEX($A281:$X281,MATCH(Lists!$F$2,$A$1:$X$1,0))&amp;""),"")</f>
        <v/>
      </c>
      <c r="AF281" s="21">
        <f>IF(AE281="","",IFERROR(TRIM(INDEX($A281:$X281,MATCH(Lists!$F$3,$A$1:$X$1,0))&amp;""),""))</f>
        <v/>
      </c>
      <c r="AG281" s="21">
        <f>IF(AE281="","",IFERROR(TRIM(INDEX($A281:$X281,MATCH(Lists!$F$4,$A$1:$X$1,0))&amp;""),""))</f>
        <v/>
      </c>
      <c r="AH281" s="21">
        <f>IF(AE281="","",LOWER(IFERROR(TRIM(INDEX($A281:$X281,MATCH(Lists!$F$5,$A$1:$X$1,0))&amp;""),"")))</f>
        <v/>
      </c>
      <c r="AI281" s="21">
        <f>IF(AE281="","",IFERROR(TRIM(INDEX($A281:$X281,MATCH(Lists!$F$6,$A$1:$X$1,0))&amp;""),""))</f>
        <v/>
      </c>
      <c r="AJ281" s="21">
        <f>IF(AE281="","",IF(LEFT(IFERROR(TRIM(INDEX($A281:$X281,MATCH(Lists!$F$7,$A$1:$X$1,0))&amp;""),""),3)="Yes","Yes","No"))</f>
        <v/>
      </c>
      <c r="AK281" s="21">
        <f>IF(AE281="","",IFERROR(TRIM(INDEX($A281:$X281,MATCH(Lists!$F$8,$A$1:$X$1,0))&amp;""),""))</f>
        <v/>
      </c>
      <c r="AL281" s="21">
        <f>IF(AE281="","",IFERROR(IF(TRIM(INDEX($A281:$X281,MATCH(Lists!$F$9,$A$1:$X$1,0))&amp;"")="","",VALUE(TRIM(INDEX($A281:$X281,MATCH(Lists!$F$9,$A$1:$X$1,0))&amp;""))),""))</f>
        <v/>
      </c>
      <c r="AM281" s="21">
        <f>IF(AE281="","",IFERROR(TRIM(INDEX($A281:$X281,MATCH(Lists!$F$10,$A$1:$X$1,0))&amp;""),""))</f>
        <v/>
      </c>
      <c r="AN281" s="21">
        <f>IF(AE281="","",IF(OR(AM281="Paid",AM281="Partially refunded"),"Paid",IF(Z281="Yes","Paid (by hand)",IF(AM281&lt;&gt;"",AM281,"Unpaid"))))</f>
        <v/>
      </c>
      <c r="AO281" s="21">
        <f>IF(AD281=1,COUNTIFS($AE$2:$AE$301,"&lt;"&amp;AE281,$AD$2:$AD$301,1)+COUNTIF($AE$2:AE281,AE281),"")</f>
        <v/>
      </c>
    </row>
    <row r="282">
      <c r="Y282" s="19" t="n"/>
      <c r="Z282" s="22" t="n"/>
      <c r="AA282" s="22" t="n"/>
      <c r="AB282" s="22" t="n"/>
      <c r="AC282" s="19" t="n"/>
      <c r="AD282" s="21">
        <f>IF(AE282="",0,1)</f>
        <v/>
      </c>
      <c r="AE282" s="21">
        <f>IFERROR(TRIM(INDEX($A282:$X282,MATCH(Lists!$F$2,$A$1:$X$1,0))&amp;""),"")</f>
        <v/>
      </c>
      <c r="AF282" s="21">
        <f>IF(AE282="","",IFERROR(TRIM(INDEX($A282:$X282,MATCH(Lists!$F$3,$A$1:$X$1,0))&amp;""),""))</f>
        <v/>
      </c>
      <c r="AG282" s="21">
        <f>IF(AE282="","",IFERROR(TRIM(INDEX($A282:$X282,MATCH(Lists!$F$4,$A$1:$X$1,0))&amp;""),""))</f>
        <v/>
      </c>
      <c r="AH282" s="21">
        <f>IF(AE282="","",LOWER(IFERROR(TRIM(INDEX($A282:$X282,MATCH(Lists!$F$5,$A$1:$X$1,0))&amp;""),"")))</f>
        <v/>
      </c>
      <c r="AI282" s="21">
        <f>IF(AE282="","",IFERROR(TRIM(INDEX($A282:$X282,MATCH(Lists!$F$6,$A$1:$X$1,0))&amp;""),""))</f>
        <v/>
      </c>
      <c r="AJ282" s="21">
        <f>IF(AE282="","",IF(LEFT(IFERROR(TRIM(INDEX($A282:$X282,MATCH(Lists!$F$7,$A$1:$X$1,0))&amp;""),""),3)="Yes","Yes","No"))</f>
        <v/>
      </c>
      <c r="AK282" s="21">
        <f>IF(AE282="","",IFERROR(TRIM(INDEX($A282:$X282,MATCH(Lists!$F$8,$A$1:$X$1,0))&amp;""),""))</f>
        <v/>
      </c>
      <c r="AL282" s="21">
        <f>IF(AE282="","",IFERROR(IF(TRIM(INDEX($A282:$X282,MATCH(Lists!$F$9,$A$1:$X$1,0))&amp;"")="","",VALUE(TRIM(INDEX($A282:$X282,MATCH(Lists!$F$9,$A$1:$X$1,0))&amp;""))),""))</f>
        <v/>
      </c>
      <c r="AM282" s="21">
        <f>IF(AE282="","",IFERROR(TRIM(INDEX($A282:$X282,MATCH(Lists!$F$10,$A$1:$X$1,0))&amp;""),""))</f>
        <v/>
      </c>
      <c r="AN282" s="21">
        <f>IF(AE282="","",IF(OR(AM282="Paid",AM282="Partially refunded"),"Paid",IF(Z282="Yes","Paid (by hand)",IF(AM282&lt;&gt;"",AM282,"Unpaid"))))</f>
        <v/>
      </c>
      <c r="AO282" s="21">
        <f>IF(AD282=1,COUNTIFS($AE$2:$AE$301,"&lt;"&amp;AE282,$AD$2:$AD$301,1)+COUNTIF($AE$2:AE282,AE282),"")</f>
        <v/>
      </c>
    </row>
    <row r="283">
      <c r="Y283" s="19" t="n"/>
      <c r="Z283" s="22" t="n"/>
      <c r="AA283" s="22" t="n"/>
      <c r="AB283" s="22" t="n"/>
      <c r="AC283" s="19" t="n"/>
      <c r="AD283" s="21">
        <f>IF(AE283="",0,1)</f>
        <v/>
      </c>
      <c r="AE283" s="21">
        <f>IFERROR(TRIM(INDEX($A283:$X283,MATCH(Lists!$F$2,$A$1:$X$1,0))&amp;""),"")</f>
        <v/>
      </c>
      <c r="AF283" s="21">
        <f>IF(AE283="","",IFERROR(TRIM(INDEX($A283:$X283,MATCH(Lists!$F$3,$A$1:$X$1,0))&amp;""),""))</f>
        <v/>
      </c>
      <c r="AG283" s="21">
        <f>IF(AE283="","",IFERROR(TRIM(INDEX($A283:$X283,MATCH(Lists!$F$4,$A$1:$X$1,0))&amp;""),""))</f>
        <v/>
      </c>
      <c r="AH283" s="21">
        <f>IF(AE283="","",LOWER(IFERROR(TRIM(INDEX($A283:$X283,MATCH(Lists!$F$5,$A$1:$X$1,0))&amp;""),"")))</f>
        <v/>
      </c>
      <c r="AI283" s="21">
        <f>IF(AE283="","",IFERROR(TRIM(INDEX($A283:$X283,MATCH(Lists!$F$6,$A$1:$X$1,0))&amp;""),""))</f>
        <v/>
      </c>
      <c r="AJ283" s="21">
        <f>IF(AE283="","",IF(LEFT(IFERROR(TRIM(INDEX($A283:$X283,MATCH(Lists!$F$7,$A$1:$X$1,0))&amp;""),""),3)="Yes","Yes","No"))</f>
        <v/>
      </c>
      <c r="AK283" s="21">
        <f>IF(AE283="","",IFERROR(TRIM(INDEX($A283:$X283,MATCH(Lists!$F$8,$A$1:$X$1,0))&amp;""),""))</f>
        <v/>
      </c>
      <c r="AL283" s="21">
        <f>IF(AE283="","",IFERROR(IF(TRIM(INDEX($A283:$X283,MATCH(Lists!$F$9,$A$1:$X$1,0))&amp;"")="","",VALUE(TRIM(INDEX($A283:$X283,MATCH(Lists!$F$9,$A$1:$X$1,0))&amp;""))),""))</f>
        <v/>
      </c>
      <c r="AM283" s="21">
        <f>IF(AE283="","",IFERROR(TRIM(INDEX($A283:$X283,MATCH(Lists!$F$10,$A$1:$X$1,0))&amp;""),""))</f>
        <v/>
      </c>
      <c r="AN283" s="21">
        <f>IF(AE283="","",IF(OR(AM283="Paid",AM283="Partially refunded"),"Paid",IF(Z283="Yes","Paid (by hand)",IF(AM283&lt;&gt;"",AM283,"Unpaid"))))</f>
        <v/>
      </c>
      <c r="AO283" s="21">
        <f>IF(AD283=1,COUNTIFS($AE$2:$AE$301,"&lt;"&amp;AE283,$AD$2:$AD$301,1)+COUNTIF($AE$2:AE283,AE283),"")</f>
        <v/>
      </c>
    </row>
    <row r="284">
      <c r="Y284" s="19" t="n"/>
      <c r="Z284" s="22" t="n"/>
      <c r="AA284" s="22" t="n"/>
      <c r="AB284" s="22" t="n"/>
      <c r="AC284" s="19" t="n"/>
      <c r="AD284" s="21">
        <f>IF(AE284="",0,1)</f>
        <v/>
      </c>
      <c r="AE284" s="21">
        <f>IFERROR(TRIM(INDEX($A284:$X284,MATCH(Lists!$F$2,$A$1:$X$1,0))&amp;""),"")</f>
        <v/>
      </c>
      <c r="AF284" s="21">
        <f>IF(AE284="","",IFERROR(TRIM(INDEX($A284:$X284,MATCH(Lists!$F$3,$A$1:$X$1,0))&amp;""),""))</f>
        <v/>
      </c>
      <c r="AG284" s="21">
        <f>IF(AE284="","",IFERROR(TRIM(INDEX($A284:$X284,MATCH(Lists!$F$4,$A$1:$X$1,0))&amp;""),""))</f>
        <v/>
      </c>
      <c r="AH284" s="21">
        <f>IF(AE284="","",LOWER(IFERROR(TRIM(INDEX($A284:$X284,MATCH(Lists!$F$5,$A$1:$X$1,0))&amp;""),"")))</f>
        <v/>
      </c>
      <c r="AI284" s="21">
        <f>IF(AE284="","",IFERROR(TRIM(INDEX($A284:$X284,MATCH(Lists!$F$6,$A$1:$X$1,0))&amp;""),""))</f>
        <v/>
      </c>
      <c r="AJ284" s="21">
        <f>IF(AE284="","",IF(LEFT(IFERROR(TRIM(INDEX($A284:$X284,MATCH(Lists!$F$7,$A$1:$X$1,0))&amp;""),""),3)="Yes","Yes","No"))</f>
        <v/>
      </c>
      <c r="AK284" s="21">
        <f>IF(AE284="","",IFERROR(TRIM(INDEX($A284:$X284,MATCH(Lists!$F$8,$A$1:$X$1,0))&amp;""),""))</f>
        <v/>
      </c>
      <c r="AL284" s="21">
        <f>IF(AE284="","",IFERROR(IF(TRIM(INDEX($A284:$X284,MATCH(Lists!$F$9,$A$1:$X$1,0))&amp;"")="","",VALUE(TRIM(INDEX($A284:$X284,MATCH(Lists!$F$9,$A$1:$X$1,0))&amp;""))),""))</f>
        <v/>
      </c>
      <c r="AM284" s="21">
        <f>IF(AE284="","",IFERROR(TRIM(INDEX($A284:$X284,MATCH(Lists!$F$10,$A$1:$X$1,0))&amp;""),""))</f>
        <v/>
      </c>
      <c r="AN284" s="21">
        <f>IF(AE284="","",IF(OR(AM284="Paid",AM284="Partially refunded"),"Paid",IF(Z284="Yes","Paid (by hand)",IF(AM284&lt;&gt;"",AM284,"Unpaid"))))</f>
        <v/>
      </c>
      <c r="AO284" s="21">
        <f>IF(AD284=1,COUNTIFS($AE$2:$AE$301,"&lt;"&amp;AE284,$AD$2:$AD$301,1)+COUNTIF($AE$2:AE284,AE284),"")</f>
        <v/>
      </c>
    </row>
    <row r="285">
      <c r="Y285" s="19" t="n"/>
      <c r="Z285" s="22" t="n"/>
      <c r="AA285" s="22" t="n"/>
      <c r="AB285" s="22" t="n"/>
      <c r="AC285" s="19" t="n"/>
      <c r="AD285" s="21">
        <f>IF(AE285="",0,1)</f>
        <v/>
      </c>
      <c r="AE285" s="21">
        <f>IFERROR(TRIM(INDEX($A285:$X285,MATCH(Lists!$F$2,$A$1:$X$1,0))&amp;""),"")</f>
        <v/>
      </c>
      <c r="AF285" s="21">
        <f>IF(AE285="","",IFERROR(TRIM(INDEX($A285:$X285,MATCH(Lists!$F$3,$A$1:$X$1,0))&amp;""),""))</f>
        <v/>
      </c>
      <c r="AG285" s="21">
        <f>IF(AE285="","",IFERROR(TRIM(INDEX($A285:$X285,MATCH(Lists!$F$4,$A$1:$X$1,0))&amp;""),""))</f>
        <v/>
      </c>
      <c r="AH285" s="21">
        <f>IF(AE285="","",LOWER(IFERROR(TRIM(INDEX($A285:$X285,MATCH(Lists!$F$5,$A$1:$X$1,0))&amp;""),"")))</f>
        <v/>
      </c>
      <c r="AI285" s="21">
        <f>IF(AE285="","",IFERROR(TRIM(INDEX($A285:$X285,MATCH(Lists!$F$6,$A$1:$X$1,0))&amp;""),""))</f>
        <v/>
      </c>
      <c r="AJ285" s="21">
        <f>IF(AE285="","",IF(LEFT(IFERROR(TRIM(INDEX($A285:$X285,MATCH(Lists!$F$7,$A$1:$X$1,0))&amp;""),""),3)="Yes","Yes","No"))</f>
        <v/>
      </c>
      <c r="AK285" s="21">
        <f>IF(AE285="","",IFERROR(TRIM(INDEX($A285:$X285,MATCH(Lists!$F$8,$A$1:$X$1,0))&amp;""),""))</f>
        <v/>
      </c>
      <c r="AL285" s="21">
        <f>IF(AE285="","",IFERROR(IF(TRIM(INDEX($A285:$X285,MATCH(Lists!$F$9,$A$1:$X$1,0))&amp;"")="","",VALUE(TRIM(INDEX($A285:$X285,MATCH(Lists!$F$9,$A$1:$X$1,0))&amp;""))),""))</f>
        <v/>
      </c>
      <c r="AM285" s="21">
        <f>IF(AE285="","",IFERROR(TRIM(INDEX($A285:$X285,MATCH(Lists!$F$10,$A$1:$X$1,0))&amp;""),""))</f>
        <v/>
      </c>
      <c r="AN285" s="21">
        <f>IF(AE285="","",IF(OR(AM285="Paid",AM285="Partially refunded"),"Paid",IF(Z285="Yes","Paid (by hand)",IF(AM285&lt;&gt;"",AM285,"Unpaid"))))</f>
        <v/>
      </c>
      <c r="AO285" s="21">
        <f>IF(AD285=1,COUNTIFS($AE$2:$AE$301,"&lt;"&amp;AE285,$AD$2:$AD$301,1)+COUNTIF($AE$2:AE285,AE285),"")</f>
        <v/>
      </c>
    </row>
    <row r="286">
      <c r="Y286" s="19" t="n"/>
      <c r="Z286" s="22" t="n"/>
      <c r="AA286" s="22" t="n"/>
      <c r="AB286" s="22" t="n"/>
      <c r="AC286" s="19" t="n"/>
      <c r="AD286" s="21">
        <f>IF(AE286="",0,1)</f>
        <v/>
      </c>
      <c r="AE286" s="21">
        <f>IFERROR(TRIM(INDEX($A286:$X286,MATCH(Lists!$F$2,$A$1:$X$1,0))&amp;""),"")</f>
        <v/>
      </c>
      <c r="AF286" s="21">
        <f>IF(AE286="","",IFERROR(TRIM(INDEX($A286:$X286,MATCH(Lists!$F$3,$A$1:$X$1,0))&amp;""),""))</f>
        <v/>
      </c>
      <c r="AG286" s="21">
        <f>IF(AE286="","",IFERROR(TRIM(INDEX($A286:$X286,MATCH(Lists!$F$4,$A$1:$X$1,0))&amp;""),""))</f>
        <v/>
      </c>
      <c r="AH286" s="21">
        <f>IF(AE286="","",LOWER(IFERROR(TRIM(INDEX($A286:$X286,MATCH(Lists!$F$5,$A$1:$X$1,0))&amp;""),"")))</f>
        <v/>
      </c>
      <c r="AI286" s="21">
        <f>IF(AE286="","",IFERROR(TRIM(INDEX($A286:$X286,MATCH(Lists!$F$6,$A$1:$X$1,0))&amp;""),""))</f>
        <v/>
      </c>
      <c r="AJ286" s="21">
        <f>IF(AE286="","",IF(LEFT(IFERROR(TRIM(INDEX($A286:$X286,MATCH(Lists!$F$7,$A$1:$X$1,0))&amp;""),""),3)="Yes","Yes","No"))</f>
        <v/>
      </c>
      <c r="AK286" s="21">
        <f>IF(AE286="","",IFERROR(TRIM(INDEX($A286:$X286,MATCH(Lists!$F$8,$A$1:$X$1,0))&amp;""),""))</f>
        <v/>
      </c>
      <c r="AL286" s="21">
        <f>IF(AE286="","",IFERROR(IF(TRIM(INDEX($A286:$X286,MATCH(Lists!$F$9,$A$1:$X$1,0))&amp;"")="","",VALUE(TRIM(INDEX($A286:$X286,MATCH(Lists!$F$9,$A$1:$X$1,0))&amp;""))),""))</f>
        <v/>
      </c>
      <c r="AM286" s="21">
        <f>IF(AE286="","",IFERROR(TRIM(INDEX($A286:$X286,MATCH(Lists!$F$10,$A$1:$X$1,0))&amp;""),""))</f>
        <v/>
      </c>
      <c r="AN286" s="21">
        <f>IF(AE286="","",IF(OR(AM286="Paid",AM286="Partially refunded"),"Paid",IF(Z286="Yes","Paid (by hand)",IF(AM286&lt;&gt;"",AM286,"Unpaid"))))</f>
        <v/>
      </c>
      <c r="AO286" s="21">
        <f>IF(AD286=1,COUNTIFS($AE$2:$AE$301,"&lt;"&amp;AE286,$AD$2:$AD$301,1)+COUNTIF($AE$2:AE286,AE286),"")</f>
        <v/>
      </c>
    </row>
    <row r="287">
      <c r="Y287" s="19" t="n"/>
      <c r="Z287" s="22" t="n"/>
      <c r="AA287" s="22" t="n"/>
      <c r="AB287" s="22" t="n"/>
      <c r="AC287" s="19" t="n"/>
      <c r="AD287" s="21">
        <f>IF(AE287="",0,1)</f>
        <v/>
      </c>
      <c r="AE287" s="21">
        <f>IFERROR(TRIM(INDEX($A287:$X287,MATCH(Lists!$F$2,$A$1:$X$1,0))&amp;""),"")</f>
        <v/>
      </c>
      <c r="AF287" s="21">
        <f>IF(AE287="","",IFERROR(TRIM(INDEX($A287:$X287,MATCH(Lists!$F$3,$A$1:$X$1,0))&amp;""),""))</f>
        <v/>
      </c>
      <c r="AG287" s="21">
        <f>IF(AE287="","",IFERROR(TRIM(INDEX($A287:$X287,MATCH(Lists!$F$4,$A$1:$X$1,0))&amp;""),""))</f>
        <v/>
      </c>
      <c r="AH287" s="21">
        <f>IF(AE287="","",LOWER(IFERROR(TRIM(INDEX($A287:$X287,MATCH(Lists!$F$5,$A$1:$X$1,0))&amp;""),"")))</f>
        <v/>
      </c>
      <c r="AI287" s="21">
        <f>IF(AE287="","",IFERROR(TRIM(INDEX($A287:$X287,MATCH(Lists!$F$6,$A$1:$X$1,0))&amp;""),""))</f>
        <v/>
      </c>
      <c r="AJ287" s="21">
        <f>IF(AE287="","",IF(LEFT(IFERROR(TRIM(INDEX($A287:$X287,MATCH(Lists!$F$7,$A$1:$X$1,0))&amp;""),""),3)="Yes","Yes","No"))</f>
        <v/>
      </c>
      <c r="AK287" s="21">
        <f>IF(AE287="","",IFERROR(TRIM(INDEX($A287:$X287,MATCH(Lists!$F$8,$A$1:$X$1,0))&amp;""),""))</f>
        <v/>
      </c>
      <c r="AL287" s="21">
        <f>IF(AE287="","",IFERROR(IF(TRIM(INDEX($A287:$X287,MATCH(Lists!$F$9,$A$1:$X$1,0))&amp;"")="","",VALUE(TRIM(INDEX($A287:$X287,MATCH(Lists!$F$9,$A$1:$X$1,0))&amp;""))),""))</f>
        <v/>
      </c>
      <c r="AM287" s="21">
        <f>IF(AE287="","",IFERROR(TRIM(INDEX($A287:$X287,MATCH(Lists!$F$10,$A$1:$X$1,0))&amp;""),""))</f>
        <v/>
      </c>
      <c r="AN287" s="21">
        <f>IF(AE287="","",IF(OR(AM287="Paid",AM287="Partially refunded"),"Paid",IF(Z287="Yes","Paid (by hand)",IF(AM287&lt;&gt;"",AM287,"Unpaid"))))</f>
        <v/>
      </c>
      <c r="AO287" s="21">
        <f>IF(AD287=1,COUNTIFS($AE$2:$AE$301,"&lt;"&amp;AE287,$AD$2:$AD$301,1)+COUNTIF($AE$2:AE287,AE287),"")</f>
        <v/>
      </c>
    </row>
    <row r="288">
      <c r="Y288" s="19" t="n"/>
      <c r="Z288" s="22" t="n"/>
      <c r="AA288" s="22" t="n"/>
      <c r="AB288" s="22" t="n"/>
      <c r="AC288" s="19" t="n"/>
      <c r="AD288" s="21">
        <f>IF(AE288="",0,1)</f>
        <v/>
      </c>
      <c r="AE288" s="21">
        <f>IFERROR(TRIM(INDEX($A288:$X288,MATCH(Lists!$F$2,$A$1:$X$1,0))&amp;""),"")</f>
        <v/>
      </c>
      <c r="AF288" s="21">
        <f>IF(AE288="","",IFERROR(TRIM(INDEX($A288:$X288,MATCH(Lists!$F$3,$A$1:$X$1,0))&amp;""),""))</f>
        <v/>
      </c>
      <c r="AG288" s="21">
        <f>IF(AE288="","",IFERROR(TRIM(INDEX($A288:$X288,MATCH(Lists!$F$4,$A$1:$X$1,0))&amp;""),""))</f>
        <v/>
      </c>
      <c r="AH288" s="21">
        <f>IF(AE288="","",LOWER(IFERROR(TRIM(INDEX($A288:$X288,MATCH(Lists!$F$5,$A$1:$X$1,0))&amp;""),"")))</f>
        <v/>
      </c>
      <c r="AI288" s="21">
        <f>IF(AE288="","",IFERROR(TRIM(INDEX($A288:$X288,MATCH(Lists!$F$6,$A$1:$X$1,0))&amp;""),""))</f>
        <v/>
      </c>
      <c r="AJ288" s="21">
        <f>IF(AE288="","",IF(LEFT(IFERROR(TRIM(INDEX($A288:$X288,MATCH(Lists!$F$7,$A$1:$X$1,0))&amp;""),""),3)="Yes","Yes","No"))</f>
        <v/>
      </c>
      <c r="AK288" s="21">
        <f>IF(AE288="","",IFERROR(TRIM(INDEX($A288:$X288,MATCH(Lists!$F$8,$A$1:$X$1,0))&amp;""),""))</f>
        <v/>
      </c>
      <c r="AL288" s="21">
        <f>IF(AE288="","",IFERROR(IF(TRIM(INDEX($A288:$X288,MATCH(Lists!$F$9,$A$1:$X$1,0))&amp;"")="","",VALUE(TRIM(INDEX($A288:$X288,MATCH(Lists!$F$9,$A$1:$X$1,0))&amp;""))),""))</f>
        <v/>
      </c>
      <c r="AM288" s="21">
        <f>IF(AE288="","",IFERROR(TRIM(INDEX($A288:$X288,MATCH(Lists!$F$10,$A$1:$X$1,0))&amp;""),""))</f>
        <v/>
      </c>
      <c r="AN288" s="21">
        <f>IF(AE288="","",IF(OR(AM288="Paid",AM288="Partially refunded"),"Paid",IF(Z288="Yes","Paid (by hand)",IF(AM288&lt;&gt;"",AM288,"Unpaid"))))</f>
        <v/>
      </c>
      <c r="AO288" s="21">
        <f>IF(AD288=1,COUNTIFS($AE$2:$AE$301,"&lt;"&amp;AE288,$AD$2:$AD$301,1)+COUNTIF($AE$2:AE288,AE288),"")</f>
        <v/>
      </c>
    </row>
    <row r="289">
      <c r="Y289" s="19" t="n"/>
      <c r="Z289" s="22" t="n"/>
      <c r="AA289" s="22" t="n"/>
      <c r="AB289" s="22" t="n"/>
      <c r="AC289" s="19" t="n"/>
      <c r="AD289" s="21">
        <f>IF(AE289="",0,1)</f>
        <v/>
      </c>
      <c r="AE289" s="21">
        <f>IFERROR(TRIM(INDEX($A289:$X289,MATCH(Lists!$F$2,$A$1:$X$1,0))&amp;""),"")</f>
        <v/>
      </c>
      <c r="AF289" s="21">
        <f>IF(AE289="","",IFERROR(TRIM(INDEX($A289:$X289,MATCH(Lists!$F$3,$A$1:$X$1,0))&amp;""),""))</f>
        <v/>
      </c>
      <c r="AG289" s="21">
        <f>IF(AE289="","",IFERROR(TRIM(INDEX($A289:$X289,MATCH(Lists!$F$4,$A$1:$X$1,0))&amp;""),""))</f>
        <v/>
      </c>
      <c r="AH289" s="21">
        <f>IF(AE289="","",LOWER(IFERROR(TRIM(INDEX($A289:$X289,MATCH(Lists!$F$5,$A$1:$X$1,0))&amp;""),"")))</f>
        <v/>
      </c>
      <c r="AI289" s="21">
        <f>IF(AE289="","",IFERROR(TRIM(INDEX($A289:$X289,MATCH(Lists!$F$6,$A$1:$X$1,0))&amp;""),""))</f>
        <v/>
      </c>
      <c r="AJ289" s="21">
        <f>IF(AE289="","",IF(LEFT(IFERROR(TRIM(INDEX($A289:$X289,MATCH(Lists!$F$7,$A$1:$X$1,0))&amp;""),""),3)="Yes","Yes","No"))</f>
        <v/>
      </c>
      <c r="AK289" s="21">
        <f>IF(AE289="","",IFERROR(TRIM(INDEX($A289:$X289,MATCH(Lists!$F$8,$A$1:$X$1,0))&amp;""),""))</f>
        <v/>
      </c>
      <c r="AL289" s="21">
        <f>IF(AE289="","",IFERROR(IF(TRIM(INDEX($A289:$X289,MATCH(Lists!$F$9,$A$1:$X$1,0))&amp;"")="","",VALUE(TRIM(INDEX($A289:$X289,MATCH(Lists!$F$9,$A$1:$X$1,0))&amp;""))),""))</f>
        <v/>
      </c>
      <c r="AM289" s="21">
        <f>IF(AE289="","",IFERROR(TRIM(INDEX($A289:$X289,MATCH(Lists!$F$10,$A$1:$X$1,0))&amp;""),""))</f>
        <v/>
      </c>
      <c r="AN289" s="21">
        <f>IF(AE289="","",IF(OR(AM289="Paid",AM289="Partially refunded"),"Paid",IF(Z289="Yes","Paid (by hand)",IF(AM289&lt;&gt;"",AM289,"Unpaid"))))</f>
        <v/>
      </c>
      <c r="AO289" s="21">
        <f>IF(AD289=1,COUNTIFS($AE$2:$AE$301,"&lt;"&amp;AE289,$AD$2:$AD$301,1)+COUNTIF($AE$2:AE289,AE289),"")</f>
        <v/>
      </c>
    </row>
    <row r="290">
      <c r="Y290" s="19" t="n"/>
      <c r="Z290" s="22" t="n"/>
      <c r="AA290" s="22" t="n"/>
      <c r="AB290" s="22" t="n"/>
      <c r="AC290" s="19" t="n"/>
      <c r="AD290" s="21">
        <f>IF(AE290="",0,1)</f>
        <v/>
      </c>
      <c r="AE290" s="21">
        <f>IFERROR(TRIM(INDEX($A290:$X290,MATCH(Lists!$F$2,$A$1:$X$1,0))&amp;""),"")</f>
        <v/>
      </c>
      <c r="AF290" s="21">
        <f>IF(AE290="","",IFERROR(TRIM(INDEX($A290:$X290,MATCH(Lists!$F$3,$A$1:$X$1,0))&amp;""),""))</f>
        <v/>
      </c>
      <c r="AG290" s="21">
        <f>IF(AE290="","",IFERROR(TRIM(INDEX($A290:$X290,MATCH(Lists!$F$4,$A$1:$X$1,0))&amp;""),""))</f>
        <v/>
      </c>
      <c r="AH290" s="21">
        <f>IF(AE290="","",LOWER(IFERROR(TRIM(INDEX($A290:$X290,MATCH(Lists!$F$5,$A$1:$X$1,0))&amp;""),"")))</f>
        <v/>
      </c>
      <c r="AI290" s="21">
        <f>IF(AE290="","",IFERROR(TRIM(INDEX($A290:$X290,MATCH(Lists!$F$6,$A$1:$X$1,0))&amp;""),""))</f>
        <v/>
      </c>
      <c r="AJ290" s="21">
        <f>IF(AE290="","",IF(LEFT(IFERROR(TRIM(INDEX($A290:$X290,MATCH(Lists!$F$7,$A$1:$X$1,0))&amp;""),""),3)="Yes","Yes","No"))</f>
        <v/>
      </c>
      <c r="AK290" s="21">
        <f>IF(AE290="","",IFERROR(TRIM(INDEX($A290:$X290,MATCH(Lists!$F$8,$A$1:$X$1,0))&amp;""),""))</f>
        <v/>
      </c>
      <c r="AL290" s="21">
        <f>IF(AE290="","",IFERROR(IF(TRIM(INDEX($A290:$X290,MATCH(Lists!$F$9,$A$1:$X$1,0))&amp;"")="","",VALUE(TRIM(INDEX($A290:$X290,MATCH(Lists!$F$9,$A$1:$X$1,0))&amp;""))),""))</f>
        <v/>
      </c>
      <c r="AM290" s="21">
        <f>IF(AE290="","",IFERROR(TRIM(INDEX($A290:$X290,MATCH(Lists!$F$10,$A$1:$X$1,0))&amp;""),""))</f>
        <v/>
      </c>
      <c r="AN290" s="21">
        <f>IF(AE290="","",IF(OR(AM290="Paid",AM290="Partially refunded"),"Paid",IF(Z290="Yes","Paid (by hand)",IF(AM290&lt;&gt;"",AM290,"Unpaid"))))</f>
        <v/>
      </c>
      <c r="AO290" s="21">
        <f>IF(AD290=1,COUNTIFS($AE$2:$AE$301,"&lt;"&amp;AE290,$AD$2:$AD$301,1)+COUNTIF($AE$2:AE290,AE290),"")</f>
        <v/>
      </c>
    </row>
    <row r="291">
      <c r="Y291" s="19" t="n"/>
      <c r="Z291" s="22" t="n"/>
      <c r="AA291" s="22" t="n"/>
      <c r="AB291" s="22" t="n"/>
      <c r="AC291" s="19" t="n"/>
      <c r="AD291" s="21">
        <f>IF(AE291="",0,1)</f>
        <v/>
      </c>
      <c r="AE291" s="21">
        <f>IFERROR(TRIM(INDEX($A291:$X291,MATCH(Lists!$F$2,$A$1:$X$1,0))&amp;""),"")</f>
        <v/>
      </c>
      <c r="AF291" s="21">
        <f>IF(AE291="","",IFERROR(TRIM(INDEX($A291:$X291,MATCH(Lists!$F$3,$A$1:$X$1,0))&amp;""),""))</f>
        <v/>
      </c>
      <c r="AG291" s="21">
        <f>IF(AE291="","",IFERROR(TRIM(INDEX($A291:$X291,MATCH(Lists!$F$4,$A$1:$X$1,0))&amp;""),""))</f>
        <v/>
      </c>
      <c r="AH291" s="21">
        <f>IF(AE291="","",LOWER(IFERROR(TRIM(INDEX($A291:$X291,MATCH(Lists!$F$5,$A$1:$X$1,0))&amp;""),"")))</f>
        <v/>
      </c>
      <c r="AI291" s="21">
        <f>IF(AE291="","",IFERROR(TRIM(INDEX($A291:$X291,MATCH(Lists!$F$6,$A$1:$X$1,0))&amp;""),""))</f>
        <v/>
      </c>
      <c r="AJ291" s="21">
        <f>IF(AE291="","",IF(LEFT(IFERROR(TRIM(INDEX($A291:$X291,MATCH(Lists!$F$7,$A$1:$X$1,0))&amp;""),""),3)="Yes","Yes","No"))</f>
        <v/>
      </c>
      <c r="AK291" s="21">
        <f>IF(AE291="","",IFERROR(TRIM(INDEX($A291:$X291,MATCH(Lists!$F$8,$A$1:$X$1,0))&amp;""),""))</f>
        <v/>
      </c>
      <c r="AL291" s="21">
        <f>IF(AE291="","",IFERROR(IF(TRIM(INDEX($A291:$X291,MATCH(Lists!$F$9,$A$1:$X$1,0))&amp;"")="","",VALUE(TRIM(INDEX($A291:$X291,MATCH(Lists!$F$9,$A$1:$X$1,0))&amp;""))),""))</f>
        <v/>
      </c>
      <c r="AM291" s="21">
        <f>IF(AE291="","",IFERROR(TRIM(INDEX($A291:$X291,MATCH(Lists!$F$10,$A$1:$X$1,0))&amp;""),""))</f>
        <v/>
      </c>
      <c r="AN291" s="21">
        <f>IF(AE291="","",IF(OR(AM291="Paid",AM291="Partially refunded"),"Paid",IF(Z291="Yes","Paid (by hand)",IF(AM291&lt;&gt;"",AM291,"Unpaid"))))</f>
        <v/>
      </c>
      <c r="AO291" s="21">
        <f>IF(AD291=1,COUNTIFS($AE$2:$AE$301,"&lt;"&amp;AE291,$AD$2:$AD$301,1)+COUNTIF($AE$2:AE291,AE291),"")</f>
        <v/>
      </c>
    </row>
    <row r="292">
      <c r="Y292" s="19" t="n"/>
      <c r="Z292" s="22" t="n"/>
      <c r="AA292" s="22" t="n"/>
      <c r="AB292" s="22" t="n"/>
      <c r="AC292" s="19" t="n"/>
      <c r="AD292" s="21">
        <f>IF(AE292="",0,1)</f>
        <v/>
      </c>
      <c r="AE292" s="21">
        <f>IFERROR(TRIM(INDEX($A292:$X292,MATCH(Lists!$F$2,$A$1:$X$1,0))&amp;""),"")</f>
        <v/>
      </c>
      <c r="AF292" s="21">
        <f>IF(AE292="","",IFERROR(TRIM(INDEX($A292:$X292,MATCH(Lists!$F$3,$A$1:$X$1,0))&amp;""),""))</f>
        <v/>
      </c>
      <c r="AG292" s="21">
        <f>IF(AE292="","",IFERROR(TRIM(INDEX($A292:$X292,MATCH(Lists!$F$4,$A$1:$X$1,0))&amp;""),""))</f>
        <v/>
      </c>
      <c r="AH292" s="21">
        <f>IF(AE292="","",LOWER(IFERROR(TRIM(INDEX($A292:$X292,MATCH(Lists!$F$5,$A$1:$X$1,0))&amp;""),"")))</f>
        <v/>
      </c>
      <c r="AI292" s="21">
        <f>IF(AE292="","",IFERROR(TRIM(INDEX($A292:$X292,MATCH(Lists!$F$6,$A$1:$X$1,0))&amp;""),""))</f>
        <v/>
      </c>
      <c r="AJ292" s="21">
        <f>IF(AE292="","",IF(LEFT(IFERROR(TRIM(INDEX($A292:$X292,MATCH(Lists!$F$7,$A$1:$X$1,0))&amp;""),""),3)="Yes","Yes","No"))</f>
        <v/>
      </c>
      <c r="AK292" s="21">
        <f>IF(AE292="","",IFERROR(TRIM(INDEX($A292:$X292,MATCH(Lists!$F$8,$A$1:$X$1,0))&amp;""),""))</f>
        <v/>
      </c>
      <c r="AL292" s="21">
        <f>IF(AE292="","",IFERROR(IF(TRIM(INDEX($A292:$X292,MATCH(Lists!$F$9,$A$1:$X$1,0))&amp;"")="","",VALUE(TRIM(INDEX($A292:$X292,MATCH(Lists!$F$9,$A$1:$X$1,0))&amp;""))),""))</f>
        <v/>
      </c>
      <c r="AM292" s="21">
        <f>IF(AE292="","",IFERROR(TRIM(INDEX($A292:$X292,MATCH(Lists!$F$10,$A$1:$X$1,0))&amp;""),""))</f>
        <v/>
      </c>
      <c r="AN292" s="21">
        <f>IF(AE292="","",IF(OR(AM292="Paid",AM292="Partially refunded"),"Paid",IF(Z292="Yes","Paid (by hand)",IF(AM292&lt;&gt;"",AM292,"Unpaid"))))</f>
        <v/>
      </c>
      <c r="AO292" s="21">
        <f>IF(AD292=1,COUNTIFS($AE$2:$AE$301,"&lt;"&amp;AE292,$AD$2:$AD$301,1)+COUNTIF($AE$2:AE292,AE292),"")</f>
        <v/>
      </c>
    </row>
    <row r="293">
      <c r="Y293" s="19" t="n"/>
      <c r="Z293" s="22" t="n"/>
      <c r="AA293" s="22" t="n"/>
      <c r="AB293" s="22" t="n"/>
      <c r="AC293" s="19" t="n"/>
      <c r="AD293" s="21">
        <f>IF(AE293="",0,1)</f>
        <v/>
      </c>
      <c r="AE293" s="21">
        <f>IFERROR(TRIM(INDEX($A293:$X293,MATCH(Lists!$F$2,$A$1:$X$1,0))&amp;""),"")</f>
        <v/>
      </c>
      <c r="AF293" s="21">
        <f>IF(AE293="","",IFERROR(TRIM(INDEX($A293:$X293,MATCH(Lists!$F$3,$A$1:$X$1,0))&amp;""),""))</f>
        <v/>
      </c>
      <c r="AG293" s="21">
        <f>IF(AE293="","",IFERROR(TRIM(INDEX($A293:$X293,MATCH(Lists!$F$4,$A$1:$X$1,0))&amp;""),""))</f>
        <v/>
      </c>
      <c r="AH293" s="21">
        <f>IF(AE293="","",LOWER(IFERROR(TRIM(INDEX($A293:$X293,MATCH(Lists!$F$5,$A$1:$X$1,0))&amp;""),"")))</f>
        <v/>
      </c>
      <c r="AI293" s="21">
        <f>IF(AE293="","",IFERROR(TRIM(INDEX($A293:$X293,MATCH(Lists!$F$6,$A$1:$X$1,0))&amp;""),""))</f>
        <v/>
      </c>
      <c r="AJ293" s="21">
        <f>IF(AE293="","",IF(LEFT(IFERROR(TRIM(INDEX($A293:$X293,MATCH(Lists!$F$7,$A$1:$X$1,0))&amp;""),""),3)="Yes","Yes","No"))</f>
        <v/>
      </c>
      <c r="AK293" s="21">
        <f>IF(AE293="","",IFERROR(TRIM(INDEX($A293:$X293,MATCH(Lists!$F$8,$A$1:$X$1,0))&amp;""),""))</f>
        <v/>
      </c>
      <c r="AL293" s="21">
        <f>IF(AE293="","",IFERROR(IF(TRIM(INDEX($A293:$X293,MATCH(Lists!$F$9,$A$1:$X$1,0))&amp;"")="","",VALUE(TRIM(INDEX($A293:$X293,MATCH(Lists!$F$9,$A$1:$X$1,0))&amp;""))),""))</f>
        <v/>
      </c>
      <c r="AM293" s="21">
        <f>IF(AE293="","",IFERROR(TRIM(INDEX($A293:$X293,MATCH(Lists!$F$10,$A$1:$X$1,0))&amp;""),""))</f>
        <v/>
      </c>
      <c r="AN293" s="21">
        <f>IF(AE293="","",IF(OR(AM293="Paid",AM293="Partially refunded"),"Paid",IF(Z293="Yes","Paid (by hand)",IF(AM293&lt;&gt;"",AM293,"Unpaid"))))</f>
        <v/>
      </c>
      <c r="AO293" s="21">
        <f>IF(AD293=1,COUNTIFS($AE$2:$AE$301,"&lt;"&amp;AE293,$AD$2:$AD$301,1)+COUNTIF($AE$2:AE293,AE293),"")</f>
        <v/>
      </c>
    </row>
    <row r="294">
      <c r="Y294" s="19" t="n"/>
      <c r="Z294" s="22" t="n"/>
      <c r="AA294" s="22" t="n"/>
      <c r="AB294" s="22" t="n"/>
      <c r="AC294" s="19" t="n"/>
      <c r="AD294" s="21">
        <f>IF(AE294="",0,1)</f>
        <v/>
      </c>
      <c r="AE294" s="21">
        <f>IFERROR(TRIM(INDEX($A294:$X294,MATCH(Lists!$F$2,$A$1:$X$1,0))&amp;""),"")</f>
        <v/>
      </c>
      <c r="AF294" s="21">
        <f>IF(AE294="","",IFERROR(TRIM(INDEX($A294:$X294,MATCH(Lists!$F$3,$A$1:$X$1,0))&amp;""),""))</f>
        <v/>
      </c>
      <c r="AG294" s="21">
        <f>IF(AE294="","",IFERROR(TRIM(INDEX($A294:$X294,MATCH(Lists!$F$4,$A$1:$X$1,0))&amp;""),""))</f>
        <v/>
      </c>
      <c r="AH294" s="21">
        <f>IF(AE294="","",LOWER(IFERROR(TRIM(INDEX($A294:$X294,MATCH(Lists!$F$5,$A$1:$X$1,0))&amp;""),"")))</f>
        <v/>
      </c>
      <c r="AI294" s="21">
        <f>IF(AE294="","",IFERROR(TRIM(INDEX($A294:$X294,MATCH(Lists!$F$6,$A$1:$X$1,0))&amp;""),""))</f>
        <v/>
      </c>
      <c r="AJ294" s="21">
        <f>IF(AE294="","",IF(LEFT(IFERROR(TRIM(INDEX($A294:$X294,MATCH(Lists!$F$7,$A$1:$X$1,0))&amp;""),""),3)="Yes","Yes","No"))</f>
        <v/>
      </c>
      <c r="AK294" s="21">
        <f>IF(AE294="","",IFERROR(TRIM(INDEX($A294:$X294,MATCH(Lists!$F$8,$A$1:$X$1,0))&amp;""),""))</f>
        <v/>
      </c>
      <c r="AL294" s="21">
        <f>IF(AE294="","",IFERROR(IF(TRIM(INDEX($A294:$X294,MATCH(Lists!$F$9,$A$1:$X$1,0))&amp;"")="","",VALUE(TRIM(INDEX($A294:$X294,MATCH(Lists!$F$9,$A$1:$X$1,0))&amp;""))),""))</f>
        <v/>
      </c>
      <c r="AM294" s="21">
        <f>IF(AE294="","",IFERROR(TRIM(INDEX($A294:$X294,MATCH(Lists!$F$10,$A$1:$X$1,0))&amp;""),""))</f>
        <v/>
      </c>
      <c r="AN294" s="21">
        <f>IF(AE294="","",IF(OR(AM294="Paid",AM294="Partially refunded"),"Paid",IF(Z294="Yes","Paid (by hand)",IF(AM294&lt;&gt;"",AM294,"Unpaid"))))</f>
        <v/>
      </c>
      <c r="AO294" s="21">
        <f>IF(AD294=1,COUNTIFS($AE$2:$AE$301,"&lt;"&amp;AE294,$AD$2:$AD$301,1)+COUNTIF($AE$2:AE294,AE294),"")</f>
        <v/>
      </c>
    </row>
    <row r="295">
      <c r="Y295" s="19" t="n"/>
      <c r="Z295" s="22" t="n"/>
      <c r="AA295" s="22" t="n"/>
      <c r="AB295" s="22" t="n"/>
      <c r="AC295" s="19" t="n"/>
      <c r="AD295" s="21">
        <f>IF(AE295="",0,1)</f>
        <v/>
      </c>
      <c r="AE295" s="21">
        <f>IFERROR(TRIM(INDEX($A295:$X295,MATCH(Lists!$F$2,$A$1:$X$1,0))&amp;""),"")</f>
        <v/>
      </c>
      <c r="AF295" s="21">
        <f>IF(AE295="","",IFERROR(TRIM(INDEX($A295:$X295,MATCH(Lists!$F$3,$A$1:$X$1,0))&amp;""),""))</f>
        <v/>
      </c>
      <c r="AG295" s="21">
        <f>IF(AE295="","",IFERROR(TRIM(INDEX($A295:$X295,MATCH(Lists!$F$4,$A$1:$X$1,0))&amp;""),""))</f>
        <v/>
      </c>
      <c r="AH295" s="21">
        <f>IF(AE295="","",LOWER(IFERROR(TRIM(INDEX($A295:$X295,MATCH(Lists!$F$5,$A$1:$X$1,0))&amp;""),"")))</f>
        <v/>
      </c>
      <c r="AI295" s="21">
        <f>IF(AE295="","",IFERROR(TRIM(INDEX($A295:$X295,MATCH(Lists!$F$6,$A$1:$X$1,0))&amp;""),""))</f>
        <v/>
      </c>
      <c r="AJ295" s="21">
        <f>IF(AE295="","",IF(LEFT(IFERROR(TRIM(INDEX($A295:$X295,MATCH(Lists!$F$7,$A$1:$X$1,0))&amp;""),""),3)="Yes","Yes","No"))</f>
        <v/>
      </c>
      <c r="AK295" s="21">
        <f>IF(AE295="","",IFERROR(TRIM(INDEX($A295:$X295,MATCH(Lists!$F$8,$A$1:$X$1,0))&amp;""),""))</f>
        <v/>
      </c>
      <c r="AL295" s="21">
        <f>IF(AE295="","",IFERROR(IF(TRIM(INDEX($A295:$X295,MATCH(Lists!$F$9,$A$1:$X$1,0))&amp;"")="","",VALUE(TRIM(INDEX($A295:$X295,MATCH(Lists!$F$9,$A$1:$X$1,0))&amp;""))),""))</f>
        <v/>
      </c>
      <c r="AM295" s="21">
        <f>IF(AE295="","",IFERROR(TRIM(INDEX($A295:$X295,MATCH(Lists!$F$10,$A$1:$X$1,0))&amp;""),""))</f>
        <v/>
      </c>
      <c r="AN295" s="21">
        <f>IF(AE295="","",IF(OR(AM295="Paid",AM295="Partially refunded"),"Paid",IF(Z295="Yes","Paid (by hand)",IF(AM295&lt;&gt;"",AM295,"Unpaid"))))</f>
        <v/>
      </c>
      <c r="AO295" s="21">
        <f>IF(AD295=1,COUNTIFS($AE$2:$AE$301,"&lt;"&amp;AE295,$AD$2:$AD$301,1)+COUNTIF($AE$2:AE295,AE295),"")</f>
        <v/>
      </c>
    </row>
    <row r="296">
      <c r="Y296" s="19" t="n"/>
      <c r="Z296" s="22" t="n"/>
      <c r="AA296" s="22" t="n"/>
      <c r="AB296" s="22" t="n"/>
      <c r="AC296" s="19" t="n"/>
      <c r="AD296" s="21">
        <f>IF(AE296="",0,1)</f>
        <v/>
      </c>
      <c r="AE296" s="21">
        <f>IFERROR(TRIM(INDEX($A296:$X296,MATCH(Lists!$F$2,$A$1:$X$1,0))&amp;""),"")</f>
        <v/>
      </c>
      <c r="AF296" s="21">
        <f>IF(AE296="","",IFERROR(TRIM(INDEX($A296:$X296,MATCH(Lists!$F$3,$A$1:$X$1,0))&amp;""),""))</f>
        <v/>
      </c>
      <c r="AG296" s="21">
        <f>IF(AE296="","",IFERROR(TRIM(INDEX($A296:$X296,MATCH(Lists!$F$4,$A$1:$X$1,0))&amp;""),""))</f>
        <v/>
      </c>
      <c r="AH296" s="21">
        <f>IF(AE296="","",LOWER(IFERROR(TRIM(INDEX($A296:$X296,MATCH(Lists!$F$5,$A$1:$X$1,0))&amp;""),"")))</f>
        <v/>
      </c>
      <c r="AI296" s="21">
        <f>IF(AE296="","",IFERROR(TRIM(INDEX($A296:$X296,MATCH(Lists!$F$6,$A$1:$X$1,0))&amp;""),""))</f>
        <v/>
      </c>
      <c r="AJ296" s="21">
        <f>IF(AE296="","",IF(LEFT(IFERROR(TRIM(INDEX($A296:$X296,MATCH(Lists!$F$7,$A$1:$X$1,0))&amp;""),""),3)="Yes","Yes","No"))</f>
        <v/>
      </c>
      <c r="AK296" s="21">
        <f>IF(AE296="","",IFERROR(TRIM(INDEX($A296:$X296,MATCH(Lists!$F$8,$A$1:$X$1,0))&amp;""),""))</f>
        <v/>
      </c>
      <c r="AL296" s="21">
        <f>IF(AE296="","",IFERROR(IF(TRIM(INDEX($A296:$X296,MATCH(Lists!$F$9,$A$1:$X$1,0))&amp;"")="","",VALUE(TRIM(INDEX($A296:$X296,MATCH(Lists!$F$9,$A$1:$X$1,0))&amp;""))),""))</f>
        <v/>
      </c>
      <c r="AM296" s="21">
        <f>IF(AE296="","",IFERROR(TRIM(INDEX($A296:$X296,MATCH(Lists!$F$10,$A$1:$X$1,0))&amp;""),""))</f>
        <v/>
      </c>
      <c r="AN296" s="21">
        <f>IF(AE296="","",IF(OR(AM296="Paid",AM296="Partially refunded"),"Paid",IF(Z296="Yes","Paid (by hand)",IF(AM296&lt;&gt;"",AM296,"Unpaid"))))</f>
        <v/>
      </c>
      <c r="AO296" s="21">
        <f>IF(AD296=1,COUNTIFS($AE$2:$AE$301,"&lt;"&amp;AE296,$AD$2:$AD$301,1)+COUNTIF($AE$2:AE296,AE296),"")</f>
        <v/>
      </c>
    </row>
    <row r="297">
      <c r="Y297" s="19" t="n"/>
      <c r="Z297" s="22" t="n"/>
      <c r="AA297" s="22" t="n"/>
      <c r="AB297" s="22" t="n"/>
      <c r="AC297" s="19" t="n"/>
      <c r="AD297" s="21">
        <f>IF(AE297="",0,1)</f>
        <v/>
      </c>
      <c r="AE297" s="21">
        <f>IFERROR(TRIM(INDEX($A297:$X297,MATCH(Lists!$F$2,$A$1:$X$1,0))&amp;""),"")</f>
        <v/>
      </c>
      <c r="AF297" s="21">
        <f>IF(AE297="","",IFERROR(TRIM(INDEX($A297:$X297,MATCH(Lists!$F$3,$A$1:$X$1,0))&amp;""),""))</f>
        <v/>
      </c>
      <c r="AG297" s="21">
        <f>IF(AE297="","",IFERROR(TRIM(INDEX($A297:$X297,MATCH(Lists!$F$4,$A$1:$X$1,0))&amp;""),""))</f>
        <v/>
      </c>
      <c r="AH297" s="21">
        <f>IF(AE297="","",LOWER(IFERROR(TRIM(INDEX($A297:$X297,MATCH(Lists!$F$5,$A$1:$X$1,0))&amp;""),"")))</f>
        <v/>
      </c>
      <c r="AI297" s="21">
        <f>IF(AE297="","",IFERROR(TRIM(INDEX($A297:$X297,MATCH(Lists!$F$6,$A$1:$X$1,0))&amp;""),""))</f>
        <v/>
      </c>
      <c r="AJ297" s="21">
        <f>IF(AE297="","",IF(LEFT(IFERROR(TRIM(INDEX($A297:$X297,MATCH(Lists!$F$7,$A$1:$X$1,0))&amp;""),""),3)="Yes","Yes","No"))</f>
        <v/>
      </c>
      <c r="AK297" s="21">
        <f>IF(AE297="","",IFERROR(TRIM(INDEX($A297:$X297,MATCH(Lists!$F$8,$A$1:$X$1,0))&amp;""),""))</f>
        <v/>
      </c>
      <c r="AL297" s="21">
        <f>IF(AE297="","",IFERROR(IF(TRIM(INDEX($A297:$X297,MATCH(Lists!$F$9,$A$1:$X$1,0))&amp;"")="","",VALUE(TRIM(INDEX($A297:$X297,MATCH(Lists!$F$9,$A$1:$X$1,0))&amp;""))),""))</f>
        <v/>
      </c>
      <c r="AM297" s="21">
        <f>IF(AE297="","",IFERROR(TRIM(INDEX($A297:$X297,MATCH(Lists!$F$10,$A$1:$X$1,0))&amp;""),""))</f>
        <v/>
      </c>
      <c r="AN297" s="21">
        <f>IF(AE297="","",IF(OR(AM297="Paid",AM297="Partially refunded"),"Paid",IF(Z297="Yes","Paid (by hand)",IF(AM297&lt;&gt;"",AM297,"Unpaid"))))</f>
        <v/>
      </c>
      <c r="AO297" s="21">
        <f>IF(AD297=1,COUNTIFS($AE$2:$AE$301,"&lt;"&amp;AE297,$AD$2:$AD$301,1)+COUNTIF($AE$2:AE297,AE297),"")</f>
        <v/>
      </c>
    </row>
    <row r="298">
      <c r="Y298" s="19" t="n"/>
      <c r="Z298" s="22" t="n"/>
      <c r="AA298" s="22" t="n"/>
      <c r="AB298" s="22" t="n"/>
      <c r="AC298" s="19" t="n"/>
      <c r="AD298" s="21">
        <f>IF(AE298="",0,1)</f>
        <v/>
      </c>
      <c r="AE298" s="21">
        <f>IFERROR(TRIM(INDEX($A298:$X298,MATCH(Lists!$F$2,$A$1:$X$1,0))&amp;""),"")</f>
        <v/>
      </c>
      <c r="AF298" s="21">
        <f>IF(AE298="","",IFERROR(TRIM(INDEX($A298:$X298,MATCH(Lists!$F$3,$A$1:$X$1,0))&amp;""),""))</f>
        <v/>
      </c>
      <c r="AG298" s="21">
        <f>IF(AE298="","",IFERROR(TRIM(INDEX($A298:$X298,MATCH(Lists!$F$4,$A$1:$X$1,0))&amp;""),""))</f>
        <v/>
      </c>
      <c r="AH298" s="21">
        <f>IF(AE298="","",LOWER(IFERROR(TRIM(INDEX($A298:$X298,MATCH(Lists!$F$5,$A$1:$X$1,0))&amp;""),"")))</f>
        <v/>
      </c>
      <c r="AI298" s="21">
        <f>IF(AE298="","",IFERROR(TRIM(INDEX($A298:$X298,MATCH(Lists!$F$6,$A$1:$X$1,0))&amp;""),""))</f>
        <v/>
      </c>
      <c r="AJ298" s="21">
        <f>IF(AE298="","",IF(LEFT(IFERROR(TRIM(INDEX($A298:$X298,MATCH(Lists!$F$7,$A$1:$X$1,0))&amp;""),""),3)="Yes","Yes","No"))</f>
        <v/>
      </c>
      <c r="AK298" s="21">
        <f>IF(AE298="","",IFERROR(TRIM(INDEX($A298:$X298,MATCH(Lists!$F$8,$A$1:$X$1,0))&amp;""),""))</f>
        <v/>
      </c>
      <c r="AL298" s="21">
        <f>IF(AE298="","",IFERROR(IF(TRIM(INDEX($A298:$X298,MATCH(Lists!$F$9,$A$1:$X$1,0))&amp;"")="","",VALUE(TRIM(INDEX($A298:$X298,MATCH(Lists!$F$9,$A$1:$X$1,0))&amp;""))),""))</f>
        <v/>
      </c>
      <c r="AM298" s="21">
        <f>IF(AE298="","",IFERROR(TRIM(INDEX($A298:$X298,MATCH(Lists!$F$10,$A$1:$X$1,0))&amp;""),""))</f>
        <v/>
      </c>
      <c r="AN298" s="21">
        <f>IF(AE298="","",IF(OR(AM298="Paid",AM298="Partially refunded"),"Paid",IF(Z298="Yes","Paid (by hand)",IF(AM298&lt;&gt;"",AM298,"Unpaid"))))</f>
        <v/>
      </c>
      <c r="AO298" s="21">
        <f>IF(AD298=1,COUNTIFS($AE$2:$AE$301,"&lt;"&amp;AE298,$AD$2:$AD$301,1)+COUNTIF($AE$2:AE298,AE298),"")</f>
        <v/>
      </c>
    </row>
    <row r="299">
      <c r="Y299" s="19" t="n"/>
      <c r="Z299" s="22" t="n"/>
      <c r="AA299" s="22" t="n"/>
      <c r="AB299" s="22" t="n"/>
      <c r="AC299" s="19" t="n"/>
      <c r="AD299" s="21">
        <f>IF(AE299="",0,1)</f>
        <v/>
      </c>
      <c r="AE299" s="21">
        <f>IFERROR(TRIM(INDEX($A299:$X299,MATCH(Lists!$F$2,$A$1:$X$1,0))&amp;""),"")</f>
        <v/>
      </c>
      <c r="AF299" s="21">
        <f>IF(AE299="","",IFERROR(TRIM(INDEX($A299:$X299,MATCH(Lists!$F$3,$A$1:$X$1,0))&amp;""),""))</f>
        <v/>
      </c>
      <c r="AG299" s="21">
        <f>IF(AE299="","",IFERROR(TRIM(INDEX($A299:$X299,MATCH(Lists!$F$4,$A$1:$X$1,0))&amp;""),""))</f>
        <v/>
      </c>
      <c r="AH299" s="21">
        <f>IF(AE299="","",LOWER(IFERROR(TRIM(INDEX($A299:$X299,MATCH(Lists!$F$5,$A$1:$X$1,0))&amp;""),"")))</f>
        <v/>
      </c>
      <c r="AI299" s="21">
        <f>IF(AE299="","",IFERROR(TRIM(INDEX($A299:$X299,MATCH(Lists!$F$6,$A$1:$X$1,0))&amp;""),""))</f>
        <v/>
      </c>
      <c r="AJ299" s="21">
        <f>IF(AE299="","",IF(LEFT(IFERROR(TRIM(INDEX($A299:$X299,MATCH(Lists!$F$7,$A$1:$X$1,0))&amp;""),""),3)="Yes","Yes","No"))</f>
        <v/>
      </c>
      <c r="AK299" s="21">
        <f>IF(AE299="","",IFERROR(TRIM(INDEX($A299:$X299,MATCH(Lists!$F$8,$A$1:$X$1,0))&amp;""),""))</f>
        <v/>
      </c>
      <c r="AL299" s="21">
        <f>IF(AE299="","",IFERROR(IF(TRIM(INDEX($A299:$X299,MATCH(Lists!$F$9,$A$1:$X$1,0))&amp;"")="","",VALUE(TRIM(INDEX($A299:$X299,MATCH(Lists!$F$9,$A$1:$X$1,0))&amp;""))),""))</f>
        <v/>
      </c>
      <c r="AM299" s="21">
        <f>IF(AE299="","",IFERROR(TRIM(INDEX($A299:$X299,MATCH(Lists!$F$10,$A$1:$X$1,0))&amp;""),""))</f>
        <v/>
      </c>
      <c r="AN299" s="21">
        <f>IF(AE299="","",IF(OR(AM299="Paid",AM299="Partially refunded"),"Paid",IF(Z299="Yes","Paid (by hand)",IF(AM299&lt;&gt;"",AM299,"Unpaid"))))</f>
        <v/>
      </c>
      <c r="AO299" s="21">
        <f>IF(AD299=1,COUNTIFS($AE$2:$AE$301,"&lt;"&amp;AE299,$AD$2:$AD$301,1)+COUNTIF($AE$2:AE299,AE299),"")</f>
        <v/>
      </c>
    </row>
    <row r="300">
      <c r="Y300" s="19" t="n"/>
      <c r="Z300" s="22" t="n"/>
      <c r="AA300" s="22" t="n"/>
      <c r="AB300" s="22" t="n"/>
      <c r="AC300" s="19" t="n"/>
      <c r="AD300" s="21">
        <f>IF(AE300="",0,1)</f>
        <v/>
      </c>
      <c r="AE300" s="21">
        <f>IFERROR(TRIM(INDEX($A300:$X300,MATCH(Lists!$F$2,$A$1:$X$1,0))&amp;""),"")</f>
        <v/>
      </c>
      <c r="AF300" s="21">
        <f>IF(AE300="","",IFERROR(TRIM(INDEX($A300:$X300,MATCH(Lists!$F$3,$A$1:$X$1,0))&amp;""),""))</f>
        <v/>
      </c>
      <c r="AG300" s="21">
        <f>IF(AE300="","",IFERROR(TRIM(INDEX($A300:$X300,MATCH(Lists!$F$4,$A$1:$X$1,0))&amp;""),""))</f>
        <v/>
      </c>
      <c r="AH300" s="21">
        <f>IF(AE300="","",LOWER(IFERROR(TRIM(INDEX($A300:$X300,MATCH(Lists!$F$5,$A$1:$X$1,0))&amp;""),"")))</f>
        <v/>
      </c>
      <c r="AI300" s="21">
        <f>IF(AE300="","",IFERROR(TRIM(INDEX($A300:$X300,MATCH(Lists!$F$6,$A$1:$X$1,0))&amp;""),""))</f>
        <v/>
      </c>
      <c r="AJ300" s="21">
        <f>IF(AE300="","",IF(LEFT(IFERROR(TRIM(INDEX($A300:$X300,MATCH(Lists!$F$7,$A$1:$X$1,0))&amp;""),""),3)="Yes","Yes","No"))</f>
        <v/>
      </c>
      <c r="AK300" s="21">
        <f>IF(AE300="","",IFERROR(TRIM(INDEX($A300:$X300,MATCH(Lists!$F$8,$A$1:$X$1,0))&amp;""),""))</f>
        <v/>
      </c>
      <c r="AL300" s="21">
        <f>IF(AE300="","",IFERROR(IF(TRIM(INDEX($A300:$X300,MATCH(Lists!$F$9,$A$1:$X$1,0))&amp;"")="","",VALUE(TRIM(INDEX($A300:$X300,MATCH(Lists!$F$9,$A$1:$X$1,0))&amp;""))),""))</f>
        <v/>
      </c>
      <c r="AM300" s="21">
        <f>IF(AE300="","",IFERROR(TRIM(INDEX($A300:$X300,MATCH(Lists!$F$10,$A$1:$X$1,0))&amp;""),""))</f>
        <v/>
      </c>
      <c r="AN300" s="21">
        <f>IF(AE300="","",IF(OR(AM300="Paid",AM300="Partially refunded"),"Paid",IF(Z300="Yes","Paid (by hand)",IF(AM300&lt;&gt;"",AM300,"Unpaid"))))</f>
        <v/>
      </c>
      <c r="AO300" s="21">
        <f>IF(AD300=1,COUNTIFS($AE$2:$AE$301,"&lt;"&amp;AE300,$AD$2:$AD$301,1)+COUNTIF($AE$2:AE300,AE300),"")</f>
        <v/>
      </c>
    </row>
    <row r="301">
      <c r="Y301" s="19" t="n"/>
      <c r="Z301" s="22" t="n"/>
      <c r="AA301" s="22" t="n"/>
      <c r="AB301" s="22" t="n"/>
      <c r="AC301" s="19" t="n"/>
      <c r="AD301" s="21">
        <f>IF(AE301="",0,1)</f>
        <v/>
      </c>
      <c r="AE301" s="21">
        <f>IFERROR(TRIM(INDEX($A301:$X301,MATCH(Lists!$F$2,$A$1:$X$1,0))&amp;""),"")</f>
        <v/>
      </c>
      <c r="AF301" s="21">
        <f>IF(AE301="","",IFERROR(TRIM(INDEX($A301:$X301,MATCH(Lists!$F$3,$A$1:$X$1,0))&amp;""),""))</f>
        <v/>
      </c>
      <c r="AG301" s="21">
        <f>IF(AE301="","",IFERROR(TRIM(INDEX($A301:$X301,MATCH(Lists!$F$4,$A$1:$X$1,0))&amp;""),""))</f>
        <v/>
      </c>
      <c r="AH301" s="21">
        <f>IF(AE301="","",LOWER(IFERROR(TRIM(INDEX($A301:$X301,MATCH(Lists!$F$5,$A$1:$X$1,0))&amp;""),"")))</f>
        <v/>
      </c>
      <c r="AI301" s="21">
        <f>IF(AE301="","",IFERROR(TRIM(INDEX($A301:$X301,MATCH(Lists!$F$6,$A$1:$X$1,0))&amp;""),""))</f>
        <v/>
      </c>
      <c r="AJ301" s="21">
        <f>IF(AE301="","",IF(LEFT(IFERROR(TRIM(INDEX($A301:$X301,MATCH(Lists!$F$7,$A$1:$X$1,0))&amp;""),""),3)="Yes","Yes","No"))</f>
        <v/>
      </c>
      <c r="AK301" s="21">
        <f>IF(AE301="","",IFERROR(TRIM(INDEX($A301:$X301,MATCH(Lists!$F$8,$A$1:$X$1,0))&amp;""),""))</f>
        <v/>
      </c>
      <c r="AL301" s="21">
        <f>IF(AE301="","",IFERROR(IF(TRIM(INDEX($A301:$X301,MATCH(Lists!$F$9,$A$1:$X$1,0))&amp;"")="","",VALUE(TRIM(INDEX($A301:$X301,MATCH(Lists!$F$9,$A$1:$X$1,0))&amp;""))),""))</f>
        <v/>
      </c>
      <c r="AM301" s="21">
        <f>IF(AE301="","",IFERROR(TRIM(INDEX($A301:$X301,MATCH(Lists!$F$10,$A$1:$X$1,0))&amp;""),""))</f>
        <v/>
      </c>
      <c r="AN301" s="21">
        <f>IF(AE301="","",IF(OR(AM301="Paid",AM301="Partially refunded"),"Paid",IF(Z301="Yes","Paid (by hand)",IF(AM301&lt;&gt;"",AM301,"Unpaid"))))</f>
        <v/>
      </c>
      <c r="AO301" s="21">
        <f>IF(AD301=1,COUNTIFS($AE$2:$AE$301,"&lt;"&amp;AE301,$AD$2:$AD$301,1)+COUNTIF($AE$2:AE301,AE301),"")</f>
        <v/>
      </c>
    </row>
  </sheetData>
  <dataValidations count="1">
    <dataValidation sqref="Z2:AA301" showDropDown="0" showInputMessage="1" showErrorMessage="1" allowBlank="1" errorTitle="Yes or No" error="Pick a value from the list. Yes or No." promptTitle="Yes or No" prompt="Yes or No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K3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20" customWidth="1" min="4" max="4"/>
    <col width="28" customWidth="1" min="5" max="5"/>
    <col width="14" customWidth="1" min="6" max="6"/>
    <col width="16" customWidth="1" min="7" max="7"/>
    <col width="13" customWidth="1" min="8" max="8"/>
    <col width="15" customWidth="1" min="9" max="9"/>
    <col width="14" customWidth="1" min="10" max="10"/>
    <col width="30" customWidth="1" min="11" max="11"/>
  </cols>
  <sheetData>
    <row r="1">
      <c r="A1" s="23" t="inlineStr">
        <is>
          <t>Roster: everyone signed up, A to Z</t>
        </is>
      </c>
    </row>
    <row r="2">
      <c r="A2" s="24" t="inlineStr">
        <is>
          <t>Names come from the sign-ups, in alphabetical order. Paid comes from the Payment status column or from your Paid by hand cell.</t>
        </is>
      </c>
    </row>
    <row r="3">
      <c r="A3" s="25">
        <f>IF(COUNTIF('Sign-ups'!$A$2:$A$301,"EXAMPLE*")&gt;0,"You are looking at EXAMPLE data. Clear A2 to AB9 on Sign-ups, then paste your own.","")</f>
        <v/>
      </c>
    </row>
    <row r="5" ht="32" customHeight="1">
      <c r="A5" s="3" t="inlineStr">
        <is>
          <t>#</t>
        </is>
      </c>
      <c r="B5" s="3" t="inlineStr">
        <is>
          <t>Name as on the card</t>
        </is>
      </c>
      <c r="C5" s="3" t="inlineStr">
        <is>
          <t>Course</t>
        </is>
      </c>
      <c r="D5" s="3" t="inlineStr">
        <is>
          <t>First course or renewal</t>
        </is>
      </c>
      <c r="E5" s="3" t="inlineStr">
        <is>
          <t>Email</t>
        </is>
      </c>
      <c r="F5" s="3" t="inlineStr">
        <is>
          <t>Phone</t>
        </is>
      </c>
      <c r="G5" s="3" t="inlineStr">
        <is>
          <t>Parent or guardian phone</t>
        </is>
      </c>
      <c r="H5" s="3" t="inlineStr">
        <is>
          <t>Student manual</t>
        </is>
      </c>
      <c r="I5" s="3" t="inlineStr">
        <is>
          <t>Paid</t>
        </is>
      </c>
      <c r="J5" s="3" t="inlineStr">
        <is>
          <t>Manual handed out</t>
        </is>
      </c>
      <c r="K5" s="3" t="inlineStr">
        <is>
          <t>Note</t>
        </is>
      </c>
    </row>
    <row r="6">
      <c r="A6" s="26">
        <f>IF(ISNUMBER(MATCH(1,'Sign-ups'!$AO$2:$AO$301,0)),1,"")</f>
        <v/>
      </c>
      <c r="B6" s="27">
        <f>IFERROR(INDEX('Sign-ups'!$AE$2:$AE$301,MATCH(1,'Sign-ups'!$AO$2:$AO$301,0)),"")</f>
        <v/>
      </c>
      <c r="C6" s="27">
        <f>IFERROR(INDEX('Sign-ups'!$AF$2:$AF$301,MATCH(1,'Sign-ups'!$AO$2:$AO$301,0)),"")</f>
        <v/>
      </c>
      <c r="D6" s="27">
        <f>IFERROR(INDEX('Sign-ups'!$AG$2:$AG$301,MATCH(1,'Sign-ups'!$AO$2:$AO$301,0)),"")</f>
        <v/>
      </c>
      <c r="E6" s="27">
        <f>IFERROR(INDEX('Sign-ups'!$AH$2:$AH$301,MATCH(1,'Sign-ups'!$AO$2:$AO$301,0)),"")</f>
        <v/>
      </c>
      <c r="F6" s="27">
        <f>IFERROR(INDEX('Sign-ups'!$AI$2:$AI$301,MATCH(1,'Sign-ups'!$AO$2:$AO$301,0)),"")</f>
        <v/>
      </c>
      <c r="G6" s="27">
        <f>IFERROR(INDEX('Sign-ups'!$AK$2:$AK$301,MATCH(1,'Sign-ups'!$AO$2:$AO$301,0)),"")</f>
        <v/>
      </c>
      <c r="H6" s="26">
        <f>IFERROR(INDEX('Sign-ups'!$AJ$2:$AJ$301,MATCH(1,'Sign-ups'!$AO$2:$AO$301,0)),"")</f>
        <v/>
      </c>
      <c r="I6" s="26">
        <f>IFERROR(INDEX('Sign-ups'!$AN$2:$AN$301,MATCH(1,'Sign-ups'!$AO$2:$AO$301,0)),"")</f>
        <v/>
      </c>
      <c r="J6" s="26">
        <f>IFERROR(INDEX('Sign-ups'!$AA$2:$AA$301,MATCH(1,'Sign-ups'!$AO$2:$AO$301,0))&amp;"","")</f>
        <v/>
      </c>
      <c r="K6" s="27">
        <f>IFERROR(INDEX('Sign-ups'!$AB$2:$AB$301,MATCH(1,'Sign-ups'!$AO$2:$AO$301,0))&amp;"","")</f>
        <v/>
      </c>
    </row>
    <row r="7">
      <c r="A7" s="26">
        <f>IF(ISNUMBER(MATCH(2,'Sign-ups'!$AO$2:$AO$301,0)),2,"")</f>
        <v/>
      </c>
      <c r="B7" s="27">
        <f>IFERROR(INDEX('Sign-ups'!$AE$2:$AE$301,MATCH(2,'Sign-ups'!$AO$2:$AO$301,0)),"")</f>
        <v/>
      </c>
      <c r="C7" s="27">
        <f>IFERROR(INDEX('Sign-ups'!$AF$2:$AF$301,MATCH(2,'Sign-ups'!$AO$2:$AO$301,0)),"")</f>
        <v/>
      </c>
      <c r="D7" s="27">
        <f>IFERROR(INDEX('Sign-ups'!$AG$2:$AG$301,MATCH(2,'Sign-ups'!$AO$2:$AO$301,0)),"")</f>
        <v/>
      </c>
      <c r="E7" s="27">
        <f>IFERROR(INDEX('Sign-ups'!$AH$2:$AH$301,MATCH(2,'Sign-ups'!$AO$2:$AO$301,0)),"")</f>
        <v/>
      </c>
      <c r="F7" s="27">
        <f>IFERROR(INDEX('Sign-ups'!$AI$2:$AI$301,MATCH(2,'Sign-ups'!$AO$2:$AO$301,0)),"")</f>
        <v/>
      </c>
      <c r="G7" s="27">
        <f>IFERROR(INDEX('Sign-ups'!$AK$2:$AK$301,MATCH(2,'Sign-ups'!$AO$2:$AO$301,0)),"")</f>
        <v/>
      </c>
      <c r="H7" s="26">
        <f>IFERROR(INDEX('Sign-ups'!$AJ$2:$AJ$301,MATCH(2,'Sign-ups'!$AO$2:$AO$301,0)),"")</f>
        <v/>
      </c>
      <c r="I7" s="26">
        <f>IFERROR(INDEX('Sign-ups'!$AN$2:$AN$301,MATCH(2,'Sign-ups'!$AO$2:$AO$301,0)),"")</f>
        <v/>
      </c>
      <c r="J7" s="26">
        <f>IFERROR(INDEX('Sign-ups'!$AA$2:$AA$301,MATCH(2,'Sign-ups'!$AO$2:$AO$301,0))&amp;"","")</f>
        <v/>
      </c>
      <c r="K7" s="27">
        <f>IFERROR(INDEX('Sign-ups'!$AB$2:$AB$301,MATCH(2,'Sign-ups'!$AO$2:$AO$301,0))&amp;"","")</f>
        <v/>
      </c>
    </row>
    <row r="8">
      <c r="A8" s="26">
        <f>IF(ISNUMBER(MATCH(3,'Sign-ups'!$AO$2:$AO$301,0)),3,"")</f>
        <v/>
      </c>
      <c r="B8" s="27">
        <f>IFERROR(INDEX('Sign-ups'!$AE$2:$AE$301,MATCH(3,'Sign-ups'!$AO$2:$AO$301,0)),"")</f>
        <v/>
      </c>
      <c r="C8" s="27">
        <f>IFERROR(INDEX('Sign-ups'!$AF$2:$AF$301,MATCH(3,'Sign-ups'!$AO$2:$AO$301,0)),"")</f>
        <v/>
      </c>
      <c r="D8" s="27">
        <f>IFERROR(INDEX('Sign-ups'!$AG$2:$AG$301,MATCH(3,'Sign-ups'!$AO$2:$AO$301,0)),"")</f>
        <v/>
      </c>
      <c r="E8" s="27">
        <f>IFERROR(INDEX('Sign-ups'!$AH$2:$AH$301,MATCH(3,'Sign-ups'!$AO$2:$AO$301,0)),"")</f>
        <v/>
      </c>
      <c r="F8" s="27">
        <f>IFERROR(INDEX('Sign-ups'!$AI$2:$AI$301,MATCH(3,'Sign-ups'!$AO$2:$AO$301,0)),"")</f>
        <v/>
      </c>
      <c r="G8" s="27">
        <f>IFERROR(INDEX('Sign-ups'!$AK$2:$AK$301,MATCH(3,'Sign-ups'!$AO$2:$AO$301,0)),"")</f>
        <v/>
      </c>
      <c r="H8" s="26">
        <f>IFERROR(INDEX('Sign-ups'!$AJ$2:$AJ$301,MATCH(3,'Sign-ups'!$AO$2:$AO$301,0)),"")</f>
        <v/>
      </c>
      <c r="I8" s="26">
        <f>IFERROR(INDEX('Sign-ups'!$AN$2:$AN$301,MATCH(3,'Sign-ups'!$AO$2:$AO$301,0)),"")</f>
        <v/>
      </c>
      <c r="J8" s="26">
        <f>IFERROR(INDEX('Sign-ups'!$AA$2:$AA$301,MATCH(3,'Sign-ups'!$AO$2:$AO$301,0))&amp;"","")</f>
        <v/>
      </c>
      <c r="K8" s="27">
        <f>IFERROR(INDEX('Sign-ups'!$AB$2:$AB$301,MATCH(3,'Sign-ups'!$AO$2:$AO$301,0))&amp;"","")</f>
        <v/>
      </c>
    </row>
    <row r="9">
      <c r="A9" s="26">
        <f>IF(ISNUMBER(MATCH(4,'Sign-ups'!$AO$2:$AO$301,0)),4,"")</f>
        <v/>
      </c>
      <c r="B9" s="27">
        <f>IFERROR(INDEX('Sign-ups'!$AE$2:$AE$301,MATCH(4,'Sign-ups'!$AO$2:$AO$301,0)),"")</f>
        <v/>
      </c>
      <c r="C9" s="27">
        <f>IFERROR(INDEX('Sign-ups'!$AF$2:$AF$301,MATCH(4,'Sign-ups'!$AO$2:$AO$301,0)),"")</f>
        <v/>
      </c>
      <c r="D9" s="27">
        <f>IFERROR(INDEX('Sign-ups'!$AG$2:$AG$301,MATCH(4,'Sign-ups'!$AO$2:$AO$301,0)),"")</f>
        <v/>
      </c>
      <c r="E9" s="27">
        <f>IFERROR(INDEX('Sign-ups'!$AH$2:$AH$301,MATCH(4,'Sign-ups'!$AO$2:$AO$301,0)),"")</f>
        <v/>
      </c>
      <c r="F9" s="27">
        <f>IFERROR(INDEX('Sign-ups'!$AI$2:$AI$301,MATCH(4,'Sign-ups'!$AO$2:$AO$301,0)),"")</f>
        <v/>
      </c>
      <c r="G9" s="27">
        <f>IFERROR(INDEX('Sign-ups'!$AK$2:$AK$301,MATCH(4,'Sign-ups'!$AO$2:$AO$301,0)),"")</f>
        <v/>
      </c>
      <c r="H9" s="26">
        <f>IFERROR(INDEX('Sign-ups'!$AJ$2:$AJ$301,MATCH(4,'Sign-ups'!$AO$2:$AO$301,0)),"")</f>
        <v/>
      </c>
      <c r="I9" s="26">
        <f>IFERROR(INDEX('Sign-ups'!$AN$2:$AN$301,MATCH(4,'Sign-ups'!$AO$2:$AO$301,0)),"")</f>
        <v/>
      </c>
      <c r="J9" s="26">
        <f>IFERROR(INDEX('Sign-ups'!$AA$2:$AA$301,MATCH(4,'Sign-ups'!$AO$2:$AO$301,0))&amp;"","")</f>
        <v/>
      </c>
      <c r="K9" s="27">
        <f>IFERROR(INDEX('Sign-ups'!$AB$2:$AB$301,MATCH(4,'Sign-ups'!$AO$2:$AO$301,0))&amp;"","")</f>
        <v/>
      </c>
    </row>
    <row r="10">
      <c r="A10" s="26">
        <f>IF(ISNUMBER(MATCH(5,'Sign-ups'!$AO$2:$AO$301,0)),5,"")</f>
        <v/>
      </c>
      <c r="B10" s="27">
        <f>IFERROR(INDEX('Sign-ups'!$AE$2:$AE$301,MATCH(5,'Sign-ups'!$AO$2:$AO$301,0)),"")</f>
        <v/>
      </c>
      <c r="C10" s="27">
        <f>IFERROR(INDEX('Sign-ups'!$AF$2:$AF$301,MATCH(5,'Sign-ups'!$AO$2:$AO$301,0)),"")</f>
        <v/>
      </c>
      <c r="D10" s="27">
        <f>IFERROR(INDEX('Sign-ups'!$AG$2:$AG$301,MATCH(5,'Sign-ups'!$AO$2:$AO$301,0)),"")</f>
        <v/>
      </c>
      <c r="E10" s="27">
        <f>IFERROR(INDEX('Sign-ups'!$AH$2:$AH$301,MATCH(5,'Sign-ups'!$AO$2:$AO$301,0)),"")</f>
        <v/>
      </c>
      <c r="F10" s="27">
        <f>IFERROR(INDEX('Sign-ups'!$AI$2:$AI$301,MATCH(5,'Sign-ups'!$AO$2:$AO$301,0)),"")</f>
        <v/>
      </c>
      <c r="G10" s="27">
        <f>IFERROR(INDEX('Sign-ups'!$AK$2:$AK$301,MATCH(5,'Sign-ups'!$AO$2:$AO$301,0)),"")</f>
        <v/>
      </c>
      <c r="H10" s="26">
        <f>IFERROR(INDEX('Sign-ups'!$AJ$2:$AJ$301,MATCH(5,'Sign-ups'!$AO$2:$AO$301,0)),"")</f>
        <v/>
      </c>
      <c r="I10" s="26">
        <f>IFERROR(INDEX('Sign-ups'!$AN$2:$AN$301,MATCH(5,'Sign-ups'!$AO$2:$AO$301,0)),"")</f>
        <v/>
      </c>
      <c r="J10" s="26">
        <f>IFERROR(INDEX('Sign-ups'!$AA$2:$AA$301,MATCH(5,'Sign-ups'!$AO$2:$AO$301,0))&amp;"","")</f>
        <v/>
      </c>
      <c r="K10" s="27">
        <f>IFERROR(INDEX('Sign-ups'!$AB$2:$AB$301,MATCH(5,'Sign-ups'!$AO$2:$AO$301,0))&amp;"","")</f>
        <v/>
      </c>
    </row>
    <row r="11">
      <c r="A11" s="26">
        <f>IF(ISNUMBER(MATCH(6,'Sign-ups'!$AO$2:$AO$301,0)),6,"")</f>
        <v/>
      </c>
      <c r="B11" s="27">
        <f>IFERROR(INDEX('Sign-ups'!$AE$2:$AE$301,MATCH(6,'Sign-ups'!$AO$2:$AO$301,0)),"")</f>
        <v/>
      </c>
      <c r="C11" s="27">
        <f>IFERROR(INDEX('Sign-ups'!$AF$2:$AF$301,MATCH(6,'Sign-ups'!$AO$2:$AO$301,0)),"")</f>
        <v/>
      </c>
      <c r="D11" s="27">
        <f>IFERROR(INDEX('Sign-ups'!$AG$2:$AG$301,MATCH(6,'Sign-ups'!$AO$2:$AO$301,0)),"")</f>
        <v/>
      </c>
      <c r="E11" s="27">
        <f>IFERROR(INDEX('Sign-ups'!$AH$2:$AH$301,MATCH(6,'Sign-ups'!$AO$2:$AO$301,0)),"")</f>
        <v/>
      </c>
      <c r="F11" s="27">
        <f>IFERROR(INDEX('Sign-ups'!$AI$2:$AI$301,MATCH(6,'Sign-ups'!$AO$2:$AO$301,0)),"")</f>
        <v/>
      </c>
      <c r="G11" s="27">
        <f>IFERROR(INDEX('Sign-ups'!$AK$2:$AK$301,MATCH(6,'Sign-ups'!$AO$2:$AO$301,0)),"")</f>
        <v/>
      </c>
      <c r="H11" s="26">
        <f>IFERROR(INDEX('Sign-ups'!$AJ$2:$AJ$301,MATCH(6,'Sign-ups'!$AO$2:$AO$301,0)),"")</f>
        <v/>
      </c>
      <c r="I11" s="26">
        <f>IFERROR(INDEX('Sign-ups'!$AN$2:$AN$301,MATCH(6,'Sign-ups'!$AO$2:$AO$301,0)),"")</f>
        <v/>
      </c>
      <c r="J11" s="26">
        <f>IFERROR(INDEX('Sign-ups'!$AA$2:$AA$301,MATCH(6,'Sign-ups'!$AO$2:$AO$301,0))&amp;"","")</f>
        <v/>
      </c>
      <c r="K11" s="27">
        <f>IFERROR(INDEX('Sign-ups'!$AB$2:$AB$301,MATCH(6,'Sign-ups'!$AO$2:$AO$301,0))&amp;"","")</f>
        <v/>
      </c>
    </row>
    <row r="12">
      <c r="A12" s="26">
        <f>IF(ISNUMBER(MATCH(7,'Sign-ups'!$AO$2:$AO$301,0)),7,"")</f>
        <v/>
      </c>
      <c r="B12" s="27">
        <f>IFERROR(INDEX('Sign-ups'!$AE$2:$AE$301,MATCH(7,'Sign-ups'!$AO$2:$AO$301,0)),"")</f>
        <v/>
      </c>
      <c r="C12" s="27">
        <f>IFERROR(INDEX('Sign-ups'!$AF$2:$AF$301,MATCH(7,'Sign-ups'!$AO$2:$AO$301,0)),"")</f>
        <v/>
      </c>
      <c r="D12" s="27">
        <f>IFERROR(INDEX('Sign-ups'!$AG$2:$AG$301,MATCH(7,'Sign-ups'!$AO$2:$AO$301,0)),"")</f>
        <v/>
      </c>
      <c r="E12" s="27">
        <f>IFERROR(INDEX('Sign-ups'!$AH$2:$AH$301,MATCH(7,'Sign-ups'!$AO$2:$AO$301,0)),"")</f>
        <v/>
      </c>
      <c r="F12" s="27">
        <f>IFERROR(INDEX('Sign-ups'!$AI$2:$AI$301,MATCH(7,'Sign-ups'!$AO$2:$AO$301,0)),"")</f>
        <v/>
      </c>
      <c r="G12" s="27">
        <f>IFERROR(INDEX('Sign-ups'!$AK$2:$AK$301,MATCH(7,'Sign-ups'!$AO$2:$AO$301,0)),"")</f>
        <v/>
      </c>
      <c r="H12" s="26">
        <f>IFERROR(INDEX('Sign-ups'!$AJ$2:$AJ$301,MATCH(7,'Sign-ups'!$AO$2:$AO$301,0)),"")</f>
        <v/>
      </c>
      <c r="I12" s="26">
        <f>IFERROR(INDEX('Sign-ups'!$AN$2:$AN$301,MATCH(7,'Sign-ups'!$AO$2:$AO$301,0)),"")</f>
        <v/>
      </c>
      <c r="J12" s="26">
        <f>IFERROR(INDEX('Sign-ups'!$AA$2:$AA$301,MATCH(7,'Sign-ups'!$AO$2:$AO$301,0))&amp;"","")</f>
        <v/>
      </c>
      <c r="K12" s="27">
        <f>IFERROR(INDEX('Sign-ups'!$AB$2:$AB$301,MATCH(7,'Sign-ups'!$AO$2:$AO$301,0))&amp;"","")</f>
        <v/>
      </c>
    </row>
    <row r="13">
      <c r="A13" s="26">
        <f>IF(ISNUMBER(MATCH(8,'Sign-ups'!$AO$2:$AO$301,0)),8,"")</f>
        <v/>
      </c>
      <c r="B13" s="27">
        <f>IFERROR(INDEX('Sign-ups'!$AE$2:$AE$301,MATCH(8,'Sign-ups'!$AO$2:$AO$301,0)),"")</f>
        <v/>
      </c>
      <c r="C13" s="27">
        <f>IFERROR(INDEX('Sign-ups'!$AF$2:$AF$301,MATCH(8,'Sign-ups'!$AO$2:$AO$301,0)),"")</f>
        <v/>
      </c>
      <c r="D13" s="27">
        <f>IFERROR(INDEX('Sign-ups'!$AG$2:$AG$301,MATCH(8,'Sign-ups'!$AO$2:$AO$301,0)),"")</f>
        <v/>
      </c>
      <c r="E13" s="27">
        <f>IFERROR(INDEX('Sign-ups'!$AH$2:$AH$301,MATCH(8,'Sign-ups'!$AO$2:$AO$301,0)),"")</f>
        <v/>
      </c>
      <c r="F13" s="27">
        <f>IFERROR(INDEX('Sign-ups'!$AI$2:$AI$301,MATCH(8,'Sign-ups'!$AO$2:$AO$301,0)),"")</f>
        <v/>
      </c>
      <c r="G13" s="27">
        <f>IFERROR(INDEX('Sign-ups'!$AK$2:$AK$301,MATCH(8,'Sign-ups'!$AO$2:$AO$301,0)),"")</f>
        <v/>
      </c>
      <c r="H13" s="26">
        <f>IFERROR(INDEX('Sign-ups'!$AJ$2:$AJ$301,MATCH(8,'Sign-ups'!$AO$2:$AO$301,0)),"")</f>
        <v/>
      </c>
      <c r="I13" s="26">
        <f>IFERROR(INDEX('Sign-ups'!$AN$2:$AN$301,MATCH(8,'Sign-ups'!$AO$2:$AO$301,0)),"")</f>
        <v/>
      </c>
      <c r="J13" s="26">
        <f>IFERROR(INDEX('Sign-ups'!$AA$2:$AA$301,MATCH(8,'Sign-ups'!$AO$2:$AO$301,0))&amp;"","")</f>
        <v/>
      </c>
      <c r="K13" s="27">
        <f>IFERROR(INDEX('Sign-ups'!$AB$2:$AB$301,MATCH(8,'Sign-ups'!$AO$2:$AO$301,0))&amp;"","")</f>
        <v/>
      </c>
    </row>
    <row r="14">
      <c r="A14" s="26">
        <f>IF(ISNUMBER(MATCH(9,'Sign-ups'!$AO$2:$AO$301,0)),9,"")</f>
        <v/>
      </c>
      <c r="B14" s="27">
        <f>IFERROR(INDEX('Sign-ups'!$AE$2:$AE$301,MATCH(9,'Sign-ups'!$AO$2:$AO$301,0)),"")</f>
        <v/>
      </c>
      <c r="C14" s="27">
        <f>IFERROR(INDEX('Sign-ups'!$AF$2:$AF$301,MATCH(9,'Sign-ups'!$AO$2:$AO$301,0)),"")</f>
        <v/>
      </c>
      <c r="D14" s="27">
        <f>IFERROR(INDEX('Sign-ups'!$AG$2:$AG$301,MATCH(9,'Sign-ups'!$AO$2:$AO$301,0)),"")</f>
        <v/>
      </c>
      <c r="E14" s="27">
        <f>IFERROR(INDEX('Sign-ups'!$AH$2:$AH$301,MATCH(9,'Sign-ups'!$AO$2:$AO$301,0)),"")</f>
        <v/>
      </c>
      <c r="F14" s="27">
        <f>IFERROR(INDEX('Sign-ups'!$AI$2:$AI$301,MATCH(9,'Sign-ups'!$AO$2:$AO$301,0)),"")</f>
        <v/>
      </c>
      <c r="G14" s="27">
        <f>IFERROR(INDEX('Sign-ups'!$AK$2:$AK$301,MATCH(9,'Sign-ups'!$AO$2:$AO$301,0)),"")</f>
        <v/>
      </c>
      <c r="H14" s="26">
        <f>IFERROR(INDEX('Sign-ups'!$AJ$2:$AJ$301,MATCH(9,'Sign-ups'!$AO$2:$AO$301,0)),"")</f>
        <v/>
      </c>
      <c r="I14" s="26">
        <f>IFERROR(INDEX('Sign-ups'!$AN$2:$AN$301,MATCH(9,'Sign-ups'!$AO$2:$AO$301,0)),"")</f>
        <v/>
      </c>
      <c r="J14" s="26">
        <f>IFERROR(INDEX('Sign-ups'!$AA$2:$AA$301,MATCH(9,'Sign-ups'!$AO$2:$AO$301,0))&amp;"","")</f>
        <v/>
      </c>
      <c r="K14" s="27">
        <f>IFERROR(INDEX('Sign-ups'!$AB$2:$AB$301,MATCH(9,'Sign-ups'!$AO$2:$AO$301,0))&amp;"","")</f>
        <v/>
      </c>
    </row>
    <row r="15">
      <c r="A15" s="26">
        <f>IF(ISNUMBER(MATCH(10,'Sign-ups'!$AO$2:$AO$301,0)),10,"")</f>
        <v/>
      </c>
      <c r="B15" s="27">
        <f>IFERROR(INDEX('Sign-ups'!$AE$2:$AE$301,MATCH(10,'Sign-ups'!$AO$2:$AO$301,0)),"")</f>
        <v/>
      </c>
      <c r="C15" s="27">
        <f>IFERROR(INDEX('Sign-ups'!$AF$2:$AF$301,MATCH(10,'Sign-ups'!$AO$2:$AO$301,0)),"")</f>
        <v/>
      </c>
      <c r="D15" s="27">
        <f>IFERROR(INDEX('Sign-ups'!$AG$2:$AG$301,MATCH(10,'Sign-ups'!$AO$2:$AO$301,0)),"")</f>
        <v/>
      </c>
      <c r="E15" s="27">
        <f>IFERROR(INDEX('Sign-ups'!$AH$2:$AH$301,MATCH(10,'Sign-ups'!$AO$2:$AO$301,0)),"")</f>
        <v/>
      </c>
      <c r="F15" s="27">
        <f>IFERROR(INDEX('Sign-ups'!$AI$2:$AI$301,MATCH(10,'Sign-ups'!$AO$2:$AO$301,0)),"")</f>
        <v/>
      </c>
      <c r="G15" s="27">
        <f>IFERROR(INDEX('Sign-ups'!$AK$2:$AK$301,MATCH(10,'Sign-ups'!$AO$2:$AO$301,0)),"")</f>
        <v/>
      </c>
      <c r="H15" s="26">
        <f>IFERROR(INDEX('Sign-ups'!$AJ$2:$AJ$301,MATCH(10,'Sign-ups'!$AO$2:$AO$301,0)),"")</f>
        <v/>
      </c>
      <c r="I15" s="26">
        <f>IFERROR(INDEX('Sign-ups'!$AN$2:$AN$301,MATCH(10,'Sign-ups'!$AO$2:$AO$301,0)),"")</f>
        <v/>
      </c>
      <c r="J15" s="26">
        <f>IFERROR(INDEX('Sign-ups'!$AA$2:$AA$301,MATCH(10,'Sign-ups'!$AO$2:$AO$301,0))&amp;"","")</f>
        <v/>
      </c>
      <c r="K15" s="27">
        <f>IFERROR(INDEX('Sign-ups'!$AB$2:$AB$301,MATCH(10,'Sign-ups'!$AO$2:$AO$301,0))&amp;"","")</f>
        <v/>
      </c>
    </row>
    <row r="16">
      <c r="A16" s="26">
        <f>IF(ISNUMBER(MATCH(11,'Sign-ups'!$AO$2:$AO$301,0)),11,"")</f>
        <v/>
      </c>
      <c r="B16" s="27">
        <f>IFERROR(INDEX('Sign-ups'!$AE$2:$AE$301,MATCH(11,'Sign-ups'!$AO$2:$AO$301,0)),"")</f>
        <v/>
      </c>
      <c r="C16" s="27">
        <f>IFERROR(INDEX('Sign-ups'!$AF$2:$AF$301,MATCH(11,'Sign-ups'!$AO$2:$AO$301,0)),"")</f>
        <v/>
      </c>
      <c r="D16" s="27">
        <f>IFERROR(INDEX('Sign-ups'!$AG$2:$AG$301,MATCH(11,'Sign-ups'!$AO$2:$AO$301,0)),"")</f>
        <v/>
      </c>
      <c r="E16" s="27">
        <f>IFERROR(INDEX('Sign-ups'!$AH$2:$AH$301,MATCH(11,'Sign-ups'!$AO$2:$AO$301,0)),"")</f>
        <v/>
      </c>
      <c r="F16" s="27">
        <f>IFERROR(INDEX('Sign-ups'!$AI$2:$AI$301,MATCH(11,'Sign-ups'!$AO$2:$AO$301,0)),"")</f>
        <v/>
      </c>
      <c r="G16" s="27">
        <f>IFERROR(INDEX('Sign-ups'!$AK$2:$AK$301,MATCH(11,'Sign-ups'!$AO$2:$AO$301,0)),"")</f>
        <v/>
      </c>
      <c r="H16" s="26">
        <f>IFERROR(INDEX('Sign-ups'!$AJ$2:$AJ$301,MATCH(11,'Sign-ups'!$AO$2:$AO$301,0)),"")</f>
        <v/>
      </c>
      <c r="I16" s="26">
        <f>IFERROR(INDEX('Sign-ups'!$AN$2:$AN$301,MATCH(11,'Sign-ups'!$AO$2:$AO$301,0)),"")</f>
        <v/>
      </c>
      <c r="J16" s="26">
        <f>IFERROR(INDEX('Sign-ups'!$AA$2:$AA$301,MATCH(11,'Sign-ups'!$AO$2:$AO$301,0))&amp;"","")</f>
        <v/>
      </c>
      <c r="K16" s="27">
        <f>IFERROR(INDEX('Sign-ups'!$AB$2:$AB$301,MATCH(11,'Sign-ups'!$AO$2:$AO$301,0))&amp;"","")</f>
        <v/>
      </c>
    </row>
    <row r="17">
      <c r="A17" s="26">
        <f>IF(ISNUMBER(MATCH(12,'Sign-ups'!$AO$2:$AO$301,0)),12,"")</f>
        <v/>
      </c>
      <c r="B17" s="27">
        <f>IFERROR(INDEX('Sign-ups'!$AE$2:$AE$301,MATCH(12,'Sign-ups'!$AO$2:$AO$301,0)),"")</f>
        <v/>
      </c>
      <c r="C17" s="27">
        <f>IFERROR(INDEX('Sign-ups'!$AF$2:$AF$301,MATCH(12,'Sign-ups'!$AO$2:$AO$301,0)),"")</f>
        <v/>
      </c>
      <c r="D17" s="27">
        <f>IFERROR(INDEX('Sign-ups'!$AG$2:$AG$301,MATCH(12,'Sign-ups'!$AO$2:$AO$301,0)),"")</f>
        <v/>
      </c>
      <c r="E17" s="27">
        <f>IFERROR(INDEX('Sign-ups'!$AH$2:$AH$301,MATCH(12,'Sign-ups'!$AO$2:$AO$301,0)),"")</f>
        <v/>
      </c>
      <c r="F17" s="27">
        <f>IFERROR(INDEX('Sign-ups'!$AI$2:$AI$301,MATCH(12,'Sign-ups'!$AO$2:$AO$301,0)),"")</f>
        <v/>
      </c>
      <c r="G17" s="27">
        <f>IFERROR(INDEX('Sign-ups'!$AK$2:$AK$301,MATCH(12,'Sign-ups'!$AO$2:$AO$301,0)),"")</f>
        <v/>
      </c>
      <c r="H17" s="26">
        <f>IFERROR(INDEX('Sign-ups'!$AJ$2:$AJ$301,MATCH(12,'Sign-ups'!$AO$2:$AO$301,0)),"")</f>
        <v/>
      </c>
      <c r="I17" s="26">
        <f>IFERROR(INDEX('Sign-ups'!$AN$2:$AN$301,MATCH(12,'Sign-ups'!$AO$2:$AO$301,0)),"")</f>
        <v/>
      </c>
      <c r="J17" s="26">
        <f>IFERROR(INDEX('Sign-ups'!$AA$2:$AA$301,MATCH(12,'Sign-ups'!$AO$2:$AO$301,0))&amp;"","")</f>
        <v/>
      </c>
      <c r="K17" s="27">
        <f>IFERROR(INDEX('Sign-ups'!$AB$2:$AB$301,MATCH(12,'Sign-ups'!$AO$2:$AO$301,0))&amp;"","")</f>
        <v/>
      </c>
    </row>
    <row r="18">
      <c r="A18" s="26">
        <f>IF(ISNUMBER(MATCH(13,'Sign-ups'!$AO$2:$AO$301,0)),13,"")</f>
        <v/>
      </c>
      <c r="B18" s="27">
        <f>IFERROR(INDEX('Sign-ups'!$AE$2:$AE$301,MATCH(13,'Sign-ups'!$AO$2:$AO$301,0)),"")</f>
        <v/>
      </c>
      <c r="C18" s="27">
        <f>IFERROR(INDEX('Sign-ups'!$AF$2:$AF$301,MATCH(13,'Sign-ups'!$AO$2:$AO$301,0)),"")</f>
        <v/>
      </c>
      <c r="D18" s="27">
        <f>IFERROR(INDEX('Sign-ups'!$AG$2:$AG$301,MATCH(13,'Sign-ups'!$AO$2:$AO$301,0)),"")</f>
        <v/>
      </c>
      <c r="E18" s="27">
        <f>IFERROR(INDEX('Sign-ups'!$AH$2:$AH$301,MATCH(13,'Sign-ups'!$AO$2:$AO$301,0)),"")</f>
        <v/>
      </c>
      <c r="F18" s="27">
        <f>IFERROR(INDEX('Sign-ups'!$AI$2:$AI$301,MATCH(13,'Sign-ups'!$AO$2:$AO$301,0)),"")</f>
        <v/>
      </c>
      <c r="G18" s="27">
        <f>IFERROR(INDEX('Sign-ups'!$AK$2:$AK$301,MATCH(13,'Sign-ups'!$AO$2:$AO$301,0)),"")</f>
        <v/>
      </c>
      <c r="H18" s="26">
        <f>IFERROR(INDEX('Sign-ups'!$AJ$2:$AJ$301,MATCH(13,'Sign-ups'!$AO$2:$AO$301,0)),"")</f>
        <v/>
      </c>
      <c r="I18" s="26">
        <f>IFERROR(INDEX('Sign-ups'!$AN$2:$AN$301,MATCH(13,'Sign-ups'!$AO$2:$AO$301,0)),"")</f>
        <v/>
      </c>
      <c r="J18" s="26">
        <f>IFERROR(INDEX('Sign-ups'!$AA$2:$AA$301,MATCH(13,'Sign-ups'!$AO$2:$AO$301,0))&amp;"","")</f>
        <v/>
      </c>
      <c r="K18" s="27">
        <f>IFERROR(INDEX('Sign-ups'!$AB$2:$AB$301,MATCH(13,'Sign-ups'!$AO$2:$AO$301,0))&amp;"","")</f>
        <v/>
      </c>
    </row>
    <row r="19">
      <c r="A19" s="26">
        <f>IF(ISNUMBER(MATCH(14,'Sign-ups'!$AO$2:$AO$301,0)),14,"")</f>
        <v/>
      </c>
      <c r="B19" s="27">
        <f>IFERROR(INDEX('Sign-ups'!$AE$2:$AE$301,MATCH(14,'Sign-ups'!$AO$2:$AO$301,0)),"")</f>
        <v/>
      </c>
      <c r="C19" s="27">
        <f>IFERROR(INDEX('Sign-ups'!$AF$2:$AF$301,MATCH(14,'Sign-ups'!$AO$2:$AO$301,0)),"")</f>
        <v/>
      </c>
      <c r="D19" s="27">
        <f>IFERROR(INDEX('Sign-ups'!$AG$2:$AG$301,MATCH(14,'Sign-ups'!$AO$2:$AO$301,0)),"")</f>
        <v/>
      </c>
      <c r="E19" s="27">
        <f>IFERROR(INDEX('Sign-ups'!$AH$2:$AH$301,MATCH(14,'Sign-ups'!$AO$2:$AO$301,0)),"")</f>
        <v/>
      </c>
      <c r="F19" s="27">
        <f>IFERROR(INDEX('Sign-ups'!$AI$2:$AI$301,MATCH(14,'Sign-ups'!$AO$2:$AO$301,0)),"")</f>
        <v/>
      </c>
      <c r="G19" s="27">
        <f>IFERROR(INDEX('Sign-ups'!$AK$2:$AK$301,MATCH(14,'Sign-ups'!$AO$2:$AO$301,0)),"")</f>
        <v/>
      </c>
      <c r="H19" s="26">
        <f>IFERROR(INDEX('Sign-ups'!$AJ$2:$AJ$301,MATCH(14,'Sign-ups'!$AO$2:$AO$301,0)),"")</f>
        <v/>
      </c>
      <c r="I19" s="26">
        <f>IFERROR(INDEX('Sign-ups'!$AN$2:$AN$301,MATCH(14,'Sign-ups'!$AO$2:$AO$301,0)),"")</f>
        <v/>
      </c>
      <c r="J19" s="26">
        <f>IFERROR(INDEX('Sign-ups'!$AA$2:$AA$301,MATCH(14,'Sign-ups'!$AO$2:$AO$301,0))&amp;"","")</f>
        <v/>
      </c>
      <c r="K19" s="27">
        <f>IFERROR(INDEX('Sign-ups'!$AB$2:$AB$301,MATCH(14,'Sign-ups'!$AO$2:$AO$301,0))&amp;"","")</f>
        <v/>
      </c>
    </row>
    <row r="20">
      <c r="A20" s="26">
        <f>IF(ISNUMBER(MATCH(15,'Sign-ups'!$AO$2:$AO$301,0)),15,"")</f>
        <v/>
      </c>
      <c r="B20" s="27">
        <f>IFERROR(INDEX('Sign-ups'!$AE$2:$AE$301,MATCH(15,'Sign-ups'!$AO$2:$AO$301,0)),"")</f>
        <v/>
      </c>
      <c r="C20" s="27">
        <f>IFERROR(INDEX('Sign-ups'!$AF$2:$AF$301,MATCH(15,'Sign-ups'!$AO$2:$AO$301,0)),"")</f>
        <v/>
      </c>
      <c r="D20" s="27">
        <f>IFERROR(INDEX('Sign-ups'!$AG$2:$AG$301,MATCH(15,'Sign-ups'!$AO$2:$AO$301,0)),"")</f>
        <v/>
      </c>
      <c r="E20" s="27">
        <f>IFERROR(INDEX('Sign-ups'!$AH$2:$AH$301,MATCH(15,'Sign-ups'!$AO$2:$AO$301,0)),"")</f>
        <v/>
      </c>
      <c r="F20" s="27">
        <f>IFERROR(INDEX('Sign-ups'!$AI$2:$AI$301,MATCH(15,'Sign-ups'!$AO$2:$AO$301,0)),"")</f>
        <v/>
      </c>
      <c r="G20" s="27">
        <f>IFERROR(INDEX('Sign-ups'!$AK$2:$AK$301,MATCH(15,'Sign-ups'!$AO$2:$AO$301,0)),"")</f>
        <v/>
      </c>
      <c r="H20" s="26">
        <f>IFERROR(INDEX('Sign-ups'!$AJ$2:$AJ$301,MATCH(15,'Sign-ups'!$AO$2:$AO$301,0)),"")</f>
        <v/>
      </c>
      <c r="I20" s="26">
        <f>IFERROR(INDEX('Sign-ups'!$AN$2:$AN$301,MATCH(15,'Sign-ups'!$AO$2:$AO$301,0)),"")</f>
        <v/>
      </c>
      <c r="J20" s="26">
        <f>IFERROR(INDEX('Sign-ups'!$AA$2:$AA$301,MATCH(15,'Sign-ups'!$AO$2:$AO$301,0))&amp;"","")</f>
        <v/>
      </c>
      <c r="K20" s="27">
        <f>IFERROR(INDEX('Sign-ups'!$AB$2:$AB$301,MATCH(15,'Sign-ups'!$AO$2:$AO$301,0))&amp;"","")</f>
        <v/>
      </c>
    </row>
    <row r="21">
      <c r="A21" s="26">
        <f>IF(ISNUMBER(MATCH(16,'Sign-ups'!$AO$2:$AO$301,0)),16,"")</f>
        <v/>
      </c>
      <c r="B21" s="27">
        <f>IFERROR(INDEX('Sign-ups'!$AE$2:$AE$301,MATCH(16,'Sign-ups'!$AO$2:$AO$301,0)),"")</f>
        <v/>
      </c>
      <c r="C21" s="27">
        <f>IFERROR(INDEX('Sign-ups'!$AF$2:$AF$301,MATCH(16,'Sign-ups'!$AO$2:$AO$301,0)),"")</f>
        <v/>
      </c>
      <c r="D21" s="27">
        <f>IFERROR(INDEX('Sign-ups'!$AG$2:$AG$301,MATCH(16,'Sign-ups'!$AO$2:$AO$301,0)),"")</f>
        <v/>
      </c>
      <c r="E21" s="27">
        <f>IFERROR(INDEX('Sign-ups'!$AH$2:$AH$301,MATCH(16,'Sign-ups'!$AO$2:$AO$301,0)),"")</f>
        <v/>
      </c>
      <c r="F21" s="27">
        <f>IFERROR(INDEX('Sign-ups'!$AI$2:$AI$301,MATCH(16,'Sign-ups'!$AO$2:$AO$301,0)),"")</f>
        <v/>
      </c>
      <c r="G21" s="27">
        <f>IFERROR(INDEX('Sign-ups'!$AK$2:$AK$301,MATCH(16,'Sign-ups'!$AO$2:$AO$301,0)),"")</f>
        <v/>
      </c>
      <c r="H21" s="26">
        <f>IFERROR(INDEX('Sign-ups'!$AJ$2:$AJ$301,MATCH(16,'Sign-ups'!$AO$2:$AO$301,0)),"")</f>
        <v/>
      </c>
      <c r="I21" s="26">
        <f>IFERROR(INDEX('Sign-ups'!$AN$2:$AN$301,MATCH(16,'Sign-ups'!$AO$2:$AO$301,0)),"")</f>
        <v/>
      </c>
      <c r="J21" s="26">
        <f>IFERROR(INDEX('Sign-ups'!$AA$2:$AA$301,MATCH(16,'Sign-ups'!$AO$2:$AO$301,0))&amp;"","")</f>
        <v/>
      </c>
      <c r="K21" s="27">
        <f>IFERROR(INDEX('Sign-ups'!$AB$2:$AB$301,MATCH(16,'Sign-ups'!$AO$2:$AO$301,0))&amp;"","")</f>
        <v/>
      </c>
    </row>
    <row r="22">
      <c r="A22" s="26">
        <f>IF(ISNUMBER(MATCH(17,'Sign-ups'!$AO$2:$AO$301,0)),17,"")</f>
        <v/>
      </c>
      <c r="B22" s="27">
        <f>IFERROR(INDEX('Sign-ups'!$AE$2:$AE$301,MATCH(17,'Sign-ups'!$AO$2:$AO$301,0)),"")</f>
        <v/>
      </c>
      <c r="C22" s="27">
        <f>IFERROR(INDEX('Sign-ups'!$AF$2:$AF$301,MATCH(17,'Sign-ups'!$AO$2:$AO$301,0)),"")</f>
        <v/>
      </c>
      <c r="D22" s="27">
        <f>IFERROR(INDEX('Sign-ups'!$AG$2:$AG$301,MATCH(17,'Sign-ups'!$AO$2:$AO$301,0)),"")</f>
        <v/>
      </c>
      <c r="E22" s="27">
        <f>IFERROR(INDEX('Sign-ups'!$AH$2:$AH$301,MATCH(17,'Sign-ups'!$AO$2:$AO$301,0)),"")</f>
        <v/>
      </c>
      <c r="F22" s="27">
        <f>IFERROR(INDEX('Sign-ups'!$AI$2:$AI$301,MATCH(17,'Sign-ups'!$AO$2:$AO$301,0)),"")</f>
        <v/>
      </c>
      <c r="G22" s="27">
        <f>IFERROR(INDEX('Sign-ups'!$AK$2:$AK$301,MATCH(17,'Sign-ups'!$AO$2:$AO$301,0)),"")</f>
        <v/>
      </c>
      <c r="H22" s="26">
        <f>IFERROR(INDEX('Sign-ups'!$AJ$2:$AJ$301,MATCH(17,'Sign-ups'!$AO$2:$AO$301,0)),"")</f>
        <v/>
      </c>
      <c r="I22" s="26">
        <f>IFERROR(INDEX('Sign-ups'!$AN$2:$AN$301,MATCH(17,'Sign-ups'!$AO$2:$AO$301,0)),"")</f>
        <v/>
      </c>
      <c r="J22" s="26">
        <f>IFERROR(INDEX('Sign-ups'!$AA$2:$AA$301,MATCH(17,'Sign-ups'!$AO$2:$AO$301,0))&amp;"","")</f>
        <v/>
      </c>
      <c r="K22" s="27">
        <f>IFERROR(INDEX('Sign-ups'!$AB$2:$AB$301,MATCH(17,'Sign-ups'!$AO$2:$AO$301,0))&amp;"","")</f>
        <v/>
      </c>
    </row>
    <row r="23">
      <c r="A23" s="26">
        <f>IF(ISNUMBER(MATCH(18,'Sign-ups'!$AO$2:$AO$301,0)),18,"")</f>
        <v/>
      </c>
      <c r="B23" s="27">
        <f>IFERROR(INDEX('Sign-ups'!$AE$2:$AE$301,MATCH(18,'Sign-ups'!$AO$2:$AO$301,0)),"")</f>
        <v/>
      </c>
      <c r="C23" s="27">
        <f>IFERROR(INDEX('Sign-ups'!$AF$2:$AF$301,MATCH(18,'Sign-ups'!$AO$2:$AO$301,0)),"")</f>
        <v/>
      </c>
      <c r="D23" s="27">
        <f>IFERROR(INDEX('Sign-ups'!$AG$2:$AG$301,MATCH(18,'Sign-ups'!$AO$2:$AO$301,0)),"")</f>
        <v/>
      </c>
      <c r="E23" s="27">
        <f>IFERROR(INDEX('Sign-ups'!$AH$2:$AH$301,MATCH(18,'Sign-ups'!$AO$2:$AO$301,0)),"")</f>
        <v/>
      </c>
      <c r="F23" s="27">
        <f>IFERROR(INDEX('Sign-ups'!$AI$2:$AI$301,MATCH(18,'Sign-ups'!$AO$2:$AO$301,0)),"")</f>
        <v/>
      </c>
      <c r="G23" s="27">
        <f>IFERROR(INDEX('Sign-ups'!$AK$2:$AK$301,MATCH(18,'Sign-ups'!$AO$2:$AO$301,0)),"")</f>
        <v/>
      </c>
      <c r="H23" s="26">
        <f>IFERROR(INDEX('Sign-ups'!$AJ$2:$AJ$301,MATCH(18,'Sign-ups'!$AO$2:$AO$301,0)),"")</f>
        <v/>
      </c>
      <c r="I23" s="26">
        <f>IFERROR(INDEX('Sign-ups'!$AN$2:$AN$301,MATCH(18,'Sign-ups'!$AO$2:$AO$301,0)),"")</f>
        <v/>
      </c>
      <c r="J23" s="26">
        <f>IFERROR(INDEX('Sign-ups'!$AA$2:$AA$301,MATCH(18,'Sign-ups'!$AO$2:$AO$301,0))&amp;"","")</f>
        <v/>
      </c>
      <c r="K23" s="27">
        <f>IFERROR(INDEX('Sign-ups'!$AB$2:$AB$301,MATCH(18,'Sign-ups'!$AO$2:$AO$301,0))&amp;"","")</f>
        <v/>
      </c>
    </row>
    <row r="24">
      <c r="A24" s="26">
        <f>IF(ISNUMBER(MATCH(19,'Sign-ups'!$AO$2:$AO$301,0)),19,"")</f>
        <v/>
      </c>
      <c r="B24" s="27">
        <f>IFERROR(INDEX('Sign-ups'!$AE$2:$AE$301,MATCH(19,'Sign-ups'!$AO$2:$AO$301,0)),"")</f>
        <v/>
      </c>
      <c r="C24" s="27">
        <f>IFERROR(INDEX('Sign-ups'!$AF$2:$AF$301,MATCH(19,'Sign-ups'!$AO$2:$AO$301,0)),"")</f>
        <v/>
      </c>
      <c r="D24" s="27">
        <f>IFERROR(INDEX('Sign-ups'!$AG$2:$AG$301,MATCH(19,'Sign-ups'!$AO$2:$AO$301,0)),"")</f>
        <v/>
      </c>
      <c r="E24" s="27">
        <f>IFERROR(INDEX('Sign-ups'!$AH$2:$AH$301,MATCH(19,'Sign-ups'!$AO$2:$AO$301,0)),"")</f>
        <v/>
      </c>
      <c r="F24" s="27">
        <f>IFERROR(INDEX('Sign-ups'!$AI$2:$AI$301,MATCH(19,'Sign-ups'!$AO$2:$AO$301,0)),"")</f>
        <v/>
      </c>
      <c r="G24" s="27">
        <f>IFERROR(INDEX('Sign-ups'!$AK$2:$AK$301,MATCH(19,'Sign-ups'!$AO$2:$AO$301,0)),"")</f>
        <v/>
      </c>
      <c r="H24" s="26">
        <f>IFERROR(INDEX('Sign-ups'!$AJ$2:$AJ$301,MATCH(19,'Sign-ups'!$AO$2:$AO$301,0)),"")</f>
        <v/>
      </c>
      <c r="I24" s="26">
        <f>IFERROR(INDEX('Sign-ups'!$AN$2:$AN$301,MATCH(19,'Sign-ups'!$AO$2:$AO$301,0)),"")</f>
        <v/>
      </c>
      <c r="J24" s="26">
        <f>IFERROR(INDEX('Sign-ups'!$AA$2:$AA$301,MATCH(19,'Sign-ups'!$AO$2:$AO$301,0))&amp;"","")</f>
        <v/>
      </c>
      <c r="K24" s="27">
        <f>IFERROR(INDEX('Sign-ups'!$AB$2:$AB$301,MATCH(19,'Sign-ups'!$AO$2:$AO$301,0))&amp;"","")</f>
        <v/>
      </c>
    </row>
    <row r="25">
      <c r="A25" s="26">
        <f>IF(ISNUMBER(MATCH(20,'Sign-ups'!$AO$2:$AO$301,0)),20,"")</f>
        <v/>
      </c>
      <c r="B25" s="27">
        <f>IFERROR(INDEX('Sign-ups'!$AE$2:$AE$301,MATCH(20,'Sign-ups'!$AO$2:$AO$301,0)),"")</f>
        <v/>
      </c>
      <c r="C25" s="27">
        <f>IFERROR(INDEX('Sign-ups'!$AF$2:$AF$301,MATCH(20,'Sign-ups'!$AO$2:$AO$301,0)),"")</f>
        <v/>
      </c>
      <c r="D25" s="27">
        <f>IFERROR(INDEX('Sign-ups'!$AG$2:$AG$301,MATCH(20,'Sign-ups'!$AO$2:$AO$301,0)),"")</f>
        <v/>
      </c>
      <c r="E25" s="27">
        <f>IFERROR(INDEX('Sign-ups'!$AH$2:$AH$301,MATCH(20,'Sign-ups'!$AO$2:$AO$301,0)),"")</f>
        <v/>
      </c>
      <c r="F25" s="27">
        <f>IFERROR(INDEX('Sign-ups'!$AI$2:$AI$301,MATCH(20,'Sign-ups'!$AO$2:$AO$301,0)),"")</f>
        <v/>
      </c>
      <c r="G25" s="27">
        <f>IFERROR(INDEX('Sign-ups'!$AK$2:$AK$301,MATCH(20,'Sign-ups'!$AO$2:$AO$301,0)),"")</f>
        <v/>
      </c>
      <c r="H25" s="26">
        <f>IFERROR(INDEX('Sign-ups'!$AJ$2:$AJ$301,MATCH(20,'Sign-ups'!$AO$2:$AO$301,0)),"")</f>
        <v/>
      </c>
      <c r="I25" s="26">
        <f>IFERROR(INDEX('Sign-ups'!$AN$2:$AN$301,MATCH(20,'Sign-ups'!$AO$2:$AO$301,0)),"")</f>
        <v/>
      </c>
      <c r="J25" s="26">
        <f>IFERROR(INDEX('Sign-ups'!$AA$2:$AA$301,MATCH(20,'Sign-ups'!$AO$2:$AO$301,0))&amp;"","")</f>
        <v/>
      </c>
      <c r="K25" s="27">
        <f>IFERROR(INDEX('Sign-ups'!$AB$2:$AB$301,MATCH(20,'Sign-ups'!$AO$2:$AO$301,0))&amp;"","")</f>
        <v/>
      </c>
    </row>
    <row r="26">
      <c r="A26" s="26">
        <f>IF(ISNUMBER(MATCH(21,'Sign-ups'!$AO$2:$AO$301,0)),21,"")</f>
        <v/>
      </c>
      <c r="B26" s="27">
        <f>IFERROR(INDEX('Sign-ups'!$AE$2:$AE$301,MATCH(21,'Sign-ups'!$AO$2:$AO$301,0)),"")</f>
        <v/>
      </c>
      <c r="C26" s="27">
        <f>IFERROR(INDEX('Sign-ups'!$AF$2:$AF$301,MATCH(21,'Sign-ups'!$AO$2:$AO$301,0)),"")</f>
        <v/>
      </c>
      <c r="D26" s="27">
        <f>IFERROR(INDEX('Sign-ups'!$AG$2:$AG$301,MATCH(21,'Sign-ups'!$AO$2:$AO$301,0)),"")</f>
        <v/>
      </c>
      <c r="E26" s="27">
        <f>IFERROR(INDEX('Sign-ups'!$AH$2:$AH$301,MATCH(21,'Sign-ups'!$AO$2:$AO$301,0)),"")</f>
        <v/>
      </c>
      <c r="F26" s="27">
        <f>IFERROR(INDEX('Sign-ups'!$AI$2:$AI$301,MATCH(21,'Sign-ups'!$AO$2:$AO$301,0)),"")</f>
        <v/>
      </c>
      <c r="G26" s="27">
        <f>IFERROR(INDEX('Sign-ups'!$AK$2:$AK$301,MATCH(21,'Sign-ups'!$AO$2:$AO$301,0)),"")</f>
        <v/>
      </c>
      <c r="H26" s="26">
        <f>IFERROR(INDEX('Sign-ups'!$AJ$2:$AJ$301,MATCH(21,'Sign-ups'!$AO$2:$AO$301,0)),"")</f>
        <v/>
      </c>
      <c r="I26" s="26">
        <f>IFERROR(INDEX('Sign-ups'!$AN$2:$AN$301,MATCH(21,'Sign-ups'!$AO$2:$AO$301,0)),"")</f>
        <v/>
      </c>
      <c r="J26" s="26">
        <f>IFERROR(INDEX('Sign-ups'!$AA$2:$AA$301,MATCH(21,'Sign-ups'!$AO$2:$AO$301,0))&amp;"","")</f>
        <v/>
      </c>
      <c r="K26" s="27">
        <f>IFERROR(INDEX('Sign-ups'!$AB$2:$AB$301,MATCH(21,'Sign-ups'!$AO$2:$AO$301,0))&amp;"","")</f>
        <v/>
      </c>
    </row>
    <row r="27">
      <c r="A27" s="26">
        <f>IF(ISNUMBER(MATCH(22,'Sign-ups'!$AO$2:$AO$301,0)),22,"")</f>
        <v/>
      </c>
      <c r="B27" s="27">
        <f>IFERROR(INDEX('Sign-ups'!$AE$2:$AE$301,MATCH(22,'Sign-ups'!$AO$2:$AO$301,0)),"")</f>
        <v/>
      </c>
      <c r="C27" s="27">
        <f>IFERROR(INDEX('Sign-ups'!$AF$2:$AF$301,MATCH(22,'Sign-ups'!$AO$2:$AO$301,0)),"")</f>
        <v/>
      </c>
      <c r="D27" s="27">
        <f>IFERROR(INDEX('Sign-ups'!$AG$2:$AG$301,MATCH(22,'Sign-ups'!$AO$2:$AO$301,0)),"")</f>
        <v/>
      </c>
      <c r="E27" s="27">
        <f>IFERROR(INDEX('Sign-ups'!$AH$2:$AH$301,MATCH(22,'Sign-ups'!$AO$2:$AO$301,0)),"")</f>
        <v/>
      </c>
      <c r="F27" s="27">
        <f>IFERROR(INDEX('Sign-ups'!$AI$2:$AI$301,MATCH(22,'Sign-ups'!$AO$2:$AO$301,0)),"")</f>
        <v/>
      </c>
      <c r="G27" s="27">
        <f>IFERROR(INDEX('Sign-ups'!$AK$2:$AK$301,MATCH(22,'Sign-ups'!$AO$2:$AO$301,0)),"")</f>
        <v/>
      </c>
      <c r="H27" s="26">
        <f>IFERROR(INDEX('Sign-ups'!$AJ$2:$AJ$301,MATCH(22,'Sign-ups'!$AO$2:$AO$301,0)),"")</f>
        <v/>
      </c>
      <c r="I27" s="26">
        <f>IFERROR(INDEX('Sign-ups'!$AN$2:$AN$301,MATCH(22,'Sign-ups'!$AO$2:$AO$301,0)),"")</f>
        <v/>
      </c>
      <c r="J27" s="26">
        <f>IFERROR(INDEX('Sign-ups'!$AA$2:$AA$301,MATCH(22,'Sign-ups'!$AO$2:$AO$301,0))&amp;"","")</f>
        <v/>
      </c>
      <c r="K27" s="27">
        <f>IFERROR(INDEX('Sign-ups'!$AB$2:$AB$301,MATCH(22,'Sign-ups'!$AO$2:$AO$301,0))&amp;"","")</f>
        <v/>
      </c>
    </row>
    <row r="28">
      <c r="A28" s="26">
        <f>IF(ISNUMBER(MATCH(23,'Sign-ups'!$AO$2:$AO$301,0)),23,"")</f>
        <v/>
      </c>
      <c r="B28" s="27">
        <f>IFERROR(INDEX('Sign-ups'!$AE$2:$AE$301,MATCH(23,'Sign-ups'!$AO$2:$AO$301,0)),"")</f>
        <v/>
      </c>
      <c r="C28" s="27">
        <f>IFERROR(INDEX('Sign-ups'!$AF$2:$AF$301,MATCH(23,'Sign-ups'!$AO$2:$AO$301,0)),"")</f>
        <v/>
      </c>
      <c r="D28" s="27">
        <f>IFERROR(INDEX('Sign-ups'!$AG$2:$AG$301,MATCH(23,'Sign-ups'!$AO$2:$AO$301,0)),"")</f>
        <v/>
      </c>
      <c r="E28" s="27">
        <f>IFERROR(INDEX('Sign-ups'!$AH$2:$AH$301,MATCH(23,'Sign-ups'!$AO$2:$AO$301,0)),"")</f>
        <v/>
      </c>
      <c r="F28" s="27">
        <f>IFERROR(INDEX('Sign-ups'!$AI$2:$AI$301,MATCH(23,'Sign-ups'!$AO$2:$AO$301,0)),"")</f>
        <v/>
      </c>
      <c r="G28" s="27">
        <f>IFERROR(INDEX('Sign-ups'!$AK$2:$AK$301,MATCH(23,'Sign-ups'!$AO$2:$AO$301,0)),"")</f>
        <v/>
      </c>
      <c r="H28" s="26">
        <f>IFERROR(INDEX('Sign-ups'!$AJ$2:$AJ$301,MATCH(23,'Sign-ups'!$AO$2:$AO$301,0)),"")</f>
        <v/>
      </c>
      <c r="I28" s="26">
        <f>IFERROR(INDEX('Sign-ups'!$AN$2:$AN$301,MATCH(23,'Sign-ups'!$AO$2:$AO$301,0)),"")</f>
        <v/>
      </c>
      <c r="J28" s="26">
        <f>IFERROR(INDEX('Sign-ups'!$AA$2:$AA$301,MATCH(23,'Sign-ups'!$AO$2:$AO$301,0))&amp;"","")</f>
        <v/>
      </c>
      <c r="K28" s="27">
        <f>IFERROR(INDEX('Sign-ups'!$AB$2:$AB$301,MATCH(23,'Sign-ups'!$AO$2:$AO$301,0))&amp;"","")</f>
        <v/>
      </c>
    </row>
    <row r="29">
      <c r="A29" s="26">
        <f>IF(ISNUMBER(MATCH(24,'Sign-ups'!$AO$2:$AO$301,0)),24,"")</f>
        <v/>
      </c>
      <c r="B29" s="27">
        <f>IFERROR(INDEX('Sign-ups'!$AE$2:$AE$301,MATCH(24,'Sign-ups'!$AO$2:$AO$301,0)),"")</f>
        <v/>
      </c>
      <c r="C29" s="27">
        <f>IFERROR(INDEX('Sign-ups'!$AF$2:$AF$301,MATCH(24,'Sign-ups'!$AO$2:$AO$301,0)),"")</f>
        <v/>
      </c>
      <c r="D29" s="27">
        <f>IFERROR(INDEX('Sign-ups'!$AG$2:$AG$301,MATCH(24,'Sign-ups'!$AO$2:$AO$301,0)),"")</f>
        <v/>
      </c>
      <c r="E29" s="27">
        <f>IFERROR(INDEX('Sign-ups'!$AH$2:$AH$301,MATCH(24,'Sign-ups'!$AO$2:$AO$301,0)),"")</f>
        <v/>
      </c>
      <c r="F29" s="27">
        <f>IFERROR(INDEX('Sign-ups'!$AI$2:$AI$301,MATCH(24,'Sign-ups'!$AO$2:$AO$301,0)),"")</f>
        <v/>
      </c>
      <c r="G29" s="27">
        <f>IFERROR(INDEX('Sign-ups'!$AK$2:$AK$301,MATCH(24,'Sign-ups'!$AO$2:$AO$301,0)),"")</f>
        <v/>
      </c>
      <c r="H29" s="26">
        <f>IFERROR(INDEX('Sign-ups'!$AJ$2:$AJ$301,MATCH(24,'Sign-ups'!$AO$2:$AO$301,0)),"")</f>
        <v/>
      </c>
      <c r="I29" s="26">
        <f>IFERROR(INDEX('Sign-ups'!$AN$2:$AN$301,MATCH(24,'Sign-ups'!$AO$2:$AO$301,0)),"")</f>
        <v/>
      </c>
      <c r="J29" s="26">
        <f>IFERROR(INDEX('Sign-ups'!$AA$2:$AA$301,MATCH(24,'Sign-ups'!$AO$2:$AO$301,0))&amp;"","")</f>
        <v/>
      </c>
      <c r="K29" s="27">
        <f>IFERROR(INDEX('Sign-ups'!$AB$2:$AB$301,MATCH(24,'Sign-ups'!$AO$2:$AO$301,0))&amp;"","")</f>
        <v/>
      </c>
    </row>
    <row r="30">
      <c r="A30" s="26">
        <f>IF(ISNUMBER(MATCH(25,'Sign-ups'!$AO$2:$AO$301,0)),25,"")</f>
        <v/>
      </c>
      <c r="B30" s="27">
        <f>IFERROR(INDEX('Sign-ups'!$AE$2:$AE$301,MATCH(25,'Sign-ups'!$AO$2:$AO$301,0)),"")</f>
        <v/>
      </c>
      <c r="C30" s="27">
        <f>IFERROR(INDEX('Sign-ups'!$AF$2:$AF$301,MATCH(25,'Sign-ups'!$AO$2:$AO$301,0)),"")</f>
        <v/>
      </c>
      <c r="D30" s="27">
        <f>IFERROR(INDEX('Sign-ups'!$AG$2:$AG$301,MATCH(25,'Sign-ups'!$AO$2:$AO$301,0)),"")</f>
        <v/>
      </c>
      <c r="E30" s="27">
        <f>IFERROR(INDEX('Sign-ups'!$AH$2:$AH$301,MATCH(25,'Sign-ups'!$AO$2:$AO$301,0)),"")</f>
        <v/>
      </c>
      <c r="F30" s="27">
        <f>IFERROR(INDEX('Sign-ups'!$AI$2:$AI$301,MATCH(25,'Sign-ups'!$AO$2:$AO$301,0)),"")</f>
        <v/>
      </c>
      <c r="G30" s="27">
        <f>IFERROR(INDEX('Sign-ups'!$AK$2:$AK$301,MATCH(25,'Sign-ups'!$AO$2:$AO$301,0)),"")</f>
        <v/>
      </c>
      <c r="H30" s="26">
        <f>IFERROR(INDEX('Sign-ups'!$AJ$2:$AJ$301,MATCH(25,'Sign-ups'!$AO$2:$AO$301,0)),"")</f>
        <v/>
      </c>
      <c r="I30" s="26">
        <f>IFERROR(INDEX('Sign-ups'!$AN$2:$AN$301,MATCH(25,'Sign-ups'!$AO$2:$AO$301,0)),"")</f>
        <v/>
      </c>
      <c r="J30" s="26">
        <f>IFERROR(INDEX('Sign-ups'!$AA$2:$AA$301,MATCH(25,'Sign-ups'!$AO$2:$AO$301,0))&amp;"","")</f>
        <v/>
      </c>
      <c r="K30" s="27">
        <f>IFERROR(INDEX('Sign-ups'!$AB$2:$AB$301,MATCH(25,'Sign-ups'!$AO$2:$AO$301,0))&amp;"","")</f>
        <v/>
      </c>
    </row>
    <row r="31">
      <c r="A31" s="26">
        <f>IF(ISNUMBER(MATCH(26,'Sign-ups'!$AO$2:$AO$301,0)),26,"")</f>
        <v/>
      </c>
      <c r="B31" s="27">
        <f>IFERROR(INDEX('Sign-ups'!$AE$2:$AE$301,MATCH(26,'Sign-ups'!$AO$2:$AO$301,0)),"")</f>
        <v/>
      </c>
      <c r="C31" s="27">
        <f>IFERROR(INDEX('Sign-ups'!$AF$2:$AF$301,MATCH(26,'Sign-ups'!$AO$2:$AO$301,0)),"")</f>
        <v/>
      </c>
      <c r="D31" s="27">
        <f>IFERROR(INDEX('Sign-ups'!$AG$2:$AG$301,MATCH(26,'Sign-ups'!$AO$2:$AO$301,0)),"")</f>
        <v/>
      </c>
      <c r="E31" s="27">
        <f>IFERROR(INDEX('Sign-ups'!$AH$2:$AH$301,MATCH(26,'Sign-ups'!$AO$2:$AO$301,0)),"")</f>
        <v/>
      </c>
      <c r="F31" s="27">
        <f>IFERROR(INDEX('Sign-ups'!$AI$2:$AI$301,MATCH(26,'Sign-ups'!$AO$2:$AO$301,0)),"")</f>
        <v/>
      </c>
      <c r="G31" s="27">
        <f>IFERROR(INDEX('Sign-ups'!$AK$2:$AK$301,MATCH(26,'Sign-ups'!$AO$2:$AO$301,0)),"")</f>
        <v/>
      </c>
      <c r="H31" s="26">
        <f>IFERROR(INDEX('Sign-ups'!$AJ$2:$AJ$301,MATCH(26,'Sign-ups'!$AO$2:$AO$301,0)),"")</f>
        <v/>
      </c>
      <c r="I31" s="26">
        <f>IFERROR(INDEX('Sign-ups'!$AN$2:$AN$301,MATCH(26,'Sign-ups'!$AO$2:$AO$301,0)),"")</f>
        <v/>
      </c>
      <c r="J31" s="26">
        <f>IFERROR(INDEX('Sign-ups'!$AA$2:$AA$301,MATCH(26,'Sign-ups'!$AO$2:$AO$301,0))&amp;"","")</f>
        <v/>
      </c>
      <c r="K31" s="27">
        <f>IFERROR(INDEX('Sign-ups'!$AB$2:$AB$301,MATCH(26,'Sign-ups'!$AO$2:$AO$301,0))&amp;"","")</f>
        <v/>
      </c>
    </row>
    <row r="32">
      <c r="A32" s="26">
        <f>IF(ISNUMBER(MATCH(27,'Sign-ups'!$AO$2:$AO$301,0)),27,"")</f>
        <v/>
      </c>
      <c r="B32" s="27">
        <f>IFERROR(INDEX('Sign-ups'!$AE$2:$AE$301,MATCH(27,'Sign-ups'!$AO$2:$AO$301,0)),"")</f>
        <v/>
      </c>
      <c r="C32" s="27">
        <f>IFERROR(INDEX('Sign-ups'!$AF$2:$AF$301,MATCH(27,'Sign-ups'!$AO$2:$AO$301,0)),"")</f>
        <v/>
      </c>
      <c r="D32" s="27">
        <f>IFERROR(INDEX('Sign-ups'!$AG$2:$AG$301,MATCH(27,'Sign-ups'!$AO$2:$AO$301,0)),"")</f>
        <v/>
      </c>
      <c r="E32" s="27">
        <f>IFERROR(INDEX('Sign-ups'!$AH$2:$AH$301,MATCH(27,'Sign-ups'!$AO$2:$AO$301,0)),"")</f>
        <v/>
      </c>
      <c r="F32" s="27">
        <f>IFERROR(INDEX('Sign-ups'!$AI$2:$AI$301,MATCH(27,'Sign-ups'!$AO$2:$AO$301,0)),"")</f>
        <v/>
      </c>
      <c r="G32" s="27">
        <f>IFERROR(INDEX('Sign-ups'!$AK$2:$AK$301,MATCH(27,'Sign-ups'!$AO$2:$AO$301,0)),"")</f>
        <v/>
      </c>
      <c r="H32" s="26">
        <f>IFERROR(INDEX('Sign-ups'!$AJ$2:$AJ$301,MATCH(27,'Sign-ups'!$AO$2:$AO$301,0)),"")</f>
        <v/>
      </c>
      <c r="I32" s="26">
        <f>IFERROR(INDEX('Sign-ups'!$AN$2:$AN$301,MATCH(27,'Sign-ups'!$AO$2:$AO$301,0)),"")</f>
        <v/>
      </c>
      <c r="J32" s="26">
        <f>IFERROR(INDEX('Sign-ups'!$AA$2:$AA$301,MATCH(27,'Sign-ups'!$AO$2:$AO$301,0))&amp;"","")</f>
        <v/>
      </c>
      <c r="K32" s="27">
        <f>IFERROR(INDEX('Sign-ups'!$AB$2:$AB$301,MATCH(27,'Sign-ups'!$AO$2:$AO$301,0))&amp;"","")</f>
        <v/>
      </c>
    </row>
    <row r="33">
      <c r="A33" s="26">
        <f>IF(ISNUMBER(MATCH(28,'Sign-ups'!$AO$2:$AO$301,0)),28,"")</f>
        <v/>
      </c>
      <c r="B33" s="27">
        <f>IFERROR(INDEX('Sign-ups'!$AE$2:$AE$301,MATCH(28,'Sign-ups'!$AO$2:$AO$301,0)),"")</f>
        <v/>
      </c>
      <c r="C33" s="27">
        <f>IFERROR(INDEX('Sign-ups'!$AF$2:$AF$301,MATCH(28,'Sign-ups'!$AO$2:$AO$301,0)),"")</f>
        <v/>
      </c>
      <c r="D33" s="27">
        <f>IFERROR(INDEX('Sign-ups'!$AG$2:$AG$301,MATCH(28,'Sign-ups'!$AO$2:$AO$301,0)),"")</f>
        <v/>
      </c>
      <c r="E33" s="27">
        <f>IFERROR(INDEX('Sign-ups'!$AH$2:$AH$301,MATCH(28,'Sign-ups'!$AO$2:$AO$301,0)),"")</f>
        <v/>
      </c>
      <c r="F33" s="27">
        <f>IFERROR(INDEX('Sign-ups'!$AI$2:$AI$301,MATCH(28,'Sign-ups'!$AO$2:$AO$301,0)),"")</f>
        <v/>
      </c>
      <c r="G33" s="27">
        <f>IFERROR(INDEX('Sign-ups'!$AK$2:$AK$301,MATCH(28,'Sign-ups'!$AO$2:$AO$301,0)),"")</f>
        <v/>
      </c>
      <c r="H33" s="26">
        <f>IFERROR(INDEX('Sign-ups'!$AJ$2:$AJ$301,MATCH(28,'Sign-ups'!$AO$2:$AO$301,0)),"")</f>
        <v/>
      </c>
      <c r="I33" s="26">
        <f>IFERROR(INDEX('Sign-ups'!$AN$2:$AN$301,MATCH(28,'Sign-ups'!$AO$2:$AO$301,0)),"")</f>
        <v/>
      </c>
      <c r="J33" s="26">
        <f>IFERROR(INDEX('Sign-ups'!$AA$2:$AA$301,MATCH(28,'Sign-ups'!$AO$2:$AO$301,0))&amp;"","")</f>
        <v/>
      </c>
      <c r="K33" s="27">
        <f>IFERROR(INDEX('Sign-ups'!$AB$2:$AB$301,MATCH(28,'Sign-ups'!$AO$2:$AO$301,0))&amp;"","")</f>
        <v/>
      </c>
    </row>
    <row r="34">
      <c r="A34" s="26">
        <f>IF(ISNUMBER(MATCH(29,'Sign-ups'!$AO$2:$AO$301,0)),29,"")</f>
        <v/>
      </c>
      <c r="B34" s="27">
        <f>IFERROR(INDEX('Sign-ups'!$AE$2:$AE$301,MATCH(29,'Sign-ups'!$AO$2:$AO$301,0)),"")</f>
        <v/>
      </c>
      <c r="C34" s="27">
        <f>IFERROR(INDEX('Sign-ups'!$AF$2:$AF$301,MATCH(29,'Sign-ups'!$AO$2:$AO$301,0)),"")</f>
        <v/>
      </c>
      <c r="D34" s="27">
        <f>IFERROR(INDEX('Sign-ups'!$AG$2:$AG$301,MATCH(29,'Sign-ups'!$AO$2:$AO$301,0)),"")</f>
        <v/>
      </c>
      <c r="E34" s="27">
        <f>IFERROR(INDEX('Sign-ups'!$AH$2:$AH$301,MATCH(29,'Sign-ups'!$AO$2:$AO$301,0)),"")</f>
        <v/>
      </c>
      <c r="F34" s="27">
        <f>IFERROR(INDEX('Sign-ups'!$AI$2:$AI$301,MATCH(29,'Sign-ups'!$AO$2:$AO$301,0)),"")</f>
        <v/>
      </c>
      <c r="G34" s="27">
        <f>IFERROR(INDEX('Sign-ups'!$AK$2:$AK$301,MATCH(29,'Sign-ups'!$AO$2:$AO$301,0)),"")</f>
        <v/>
      </c>
      <c r="H34" s="26">
        <f>IFERROR(INDEX('Sign-ups'!$AJ$2:$AJ$301,MATCH(29,'Sign-ups'!$AO$2:$AO$301,0)),"")</f>
        <v/>
      </c>
      <c r="I34" s="26">
        <f>IFERROR(INDEX('Sign-ups'!$AN$2:$AN$301,MATCH(29,'Sign-ups'!$AO$2:$AO$301,0)),"")</f>
        <v/>
      </c>
      <c r="J34" s="26">
        <f>IFERROR(INDEX('Sign-ups'!$AA$2:$AA$301,MATCH(29,'Sign-ups'!$AO$2:$AO$301,0))&amp;"","")</f>
        <v/>
      </c>
      <c r="K34" s="27">
        <f>IFERROR(INDEX('Sign-ups'!$AB$2:$AB$301,MATCH(29,'Sign-ups'!$AO$2:$AO$301,0))&amp;"","")</f>
        <v/>
      </c>
    </row>
    <row r="35">
      <c r="A35" s="26">
        <f>IF(ISNUMBER(MATCH(30,'Sign-ups'!$AO$2:$AO$301,0)),30,"")</f>
        <v/>
      </c>
      <c r="B35" s="27">
        <f>IFERROR(INDEX('Sign-ups'!$AE$2:$AE$301,MATCH(30,'Sign-ups'!$AO$2:$AO$301,0)),"")</f>
        <v/>
      </c>
      <c r="C35" s="27">
        <f>IFERROR(INDEX('Sign-ups'!$AF$2:$AF$301,MATCH(30,'Sign-ups'!$AO$2:$AO$301,0)),"")</f>
        <v/>
      </c>
      <c r="D35" s="27">
        <f>IFERROR(INDEX('Sign-ups'!$AG$2:$AG$301,MATCH(30,'Sign-ups'!$AO$2:$AO$301,0)),"")</f>
        <v/>
      </c>
      <c r="E35" s="27">
        <f>IFERROR(INDEX('Sign-ups'!$AH$2:$AH$301,MATCH(30,'Sign-ups'!$AO$2:$AO$301,0)),"")</f>
        <v/>
      </c>
      <c r="F35" s="27">
        <f>IFERROR(INDEX('Sign-ups'!$AI$2:$AI$301,MATCH(30,'Sign-ups'!$AO$2:$AO$301,0)),"")</f>
        <v/>
      </c>
      <c r="G35" s="27">
        <f>IFERROR(INDEX('Sign-ups'!$AK$2:$AK$301,MATCH(30,'Sign-ups'!$AO$2:$AO$301,0)),"")</f>
        <v/>
      </c>
      <c r="H35" s="26">
        <f>IFERROR(INDEX('Sign-ups'!$AJ$2:$AJ$301,MATCH(30,'Sign-ups'!$AO$2:$AO$301,0)),"")</f>
        <v/>
      </c>
      <c r="I35" s="26">
        <f>IFERROR(INDEX('Sign-ups'!$AN$2:$AN$301,MATCH(30,'Sign-ups'!$AO$2:$AO$301,0)),"")</f>
        <v/>
      </c>
      <c r="J35" s="26">
        <f>IFERROR(INDEX('Sign-ups'!$AA$2:$AA$301,MATCH(30,'Sign-ups'!$AO$2:$AO$301,0))&amp;"","")</f>
        <v/>
      </c>
      <c r="K35" s="27">
        <f>IFERROR(INDEX('Sign-ups'!$AB$2:$AB$301,MATCH(30,'Sign-ups'!$AO$2:$AO$301,0))&amp;"","")</f>
        <v/>
      </c>
    </row>
    <row r="36">
      <c r="A36" s="26">
        <f>IF(ISNUMBER(MATCH(31,'Sign-ups'!$AO$2:$AO$301,0)),31,"")</f>
        <v/>
      </c>
      <c r="B36" s="27">
        <f>IFERROR(INDEX('Sign-ups'!$AE$2:$AE$301,MATCH(31,'Sign-ups'!$AO$2:$AO$301,0)),"")</f>
        <v/>
      </c>
      <c r="C36" s="27">
        <f>IFERROR(INDEX('Sign-ups'!$AF$2:$AF$301,MATCH(31,'Sign-ups'!$AO$2:$AO$301,0)),"")</f>
        <v/>
      </c>
      <c r="D36" s="27">
        <f>IFERROR(INDEX('Sign-ups'!$AG$2:$AG$301,MATCH(31,'Sign-ups'!$AO$2:$AO$301,0)),"")</f>
        <v/>
      </c>
      <c r="E36" s="27">
        <f>IFERROR(INDEX('Sign-ups'!$AH$2:$AH$301,MATCH(31,'Sign-ups'!$AO$2:$AO$301,0)),"")</f>
        <v/>
      </c>
      <c r="F36" s="27">
        <f>IFERROR(INDEX('Sign-ups'!$AI$2:$AI$301,MATCH(31,'Sign-ups'!$AO$2:$AO$301,0)),"")</f>
        <v/>
      </c>
      <c r="G36" s="27">
        <f>IFERROR(INDEX('Sign-ups'!$AK$2:$AK$301,MATCH(31,'Sign-ups'!$AO$2:$AO$301,0)),"")</f>
        <v/>
      </c>
      <c r="H36" s="26">
        <f>IFERROR(INDEX('Sign-ups'!$AJ$2:$AJ$301,MATCH(31,'Sign-ups'!$AO$2:$AO$301,0)),"")</f>
        <v/>
      </c>
      <c r="I36" s="26">
        <f>IFERROR(INDEX('Sign-ups'!$AN$2:$AN$301,MATCH(31,'Sign-ups'!$AO$2:$AO$301,0)),"")</f>
        <v/>
      </c>
      <c r="J36" s="26">
        <f>IFERROR(INDEX('Sign-ups'!$AA$2:$AA$301,MATCH(31,'Sign-ups'!$AO$2:$AO$301,0))&amp;"","")</f>
        <v/>
      </c>
      <c r="K36" s="27">
        <f>IFERROR(INDEX('Sign-ups'!$AB$2:$AB$301,MATCH(31,'Sign-ups'!$AO$2:$AO$301,0))&amp;"","")</f>
        <v/>
      </c>
    </row>
    <row r="37">
      <c r="A37" s="26">
        <f>IF(ISNUMBER(MATCH(32,'Sign-ups'!$AO$2:$AO$301,0)),32,"")</f>
        <v/>
      </c>
      <c r="B37" s="27">
        <f>IFERROR(INDEX('Sign-ups'!$AE$2:$AE$301,MATCH(32,'Sign-ups'!$AO$2:$AO$301,0)),"")</f>
        <v/>
      </c>
      <c r="C37" s="27">
        <f>IFERROR(INDEX('Sign-ups'!$AF$2:$AF$301,MATCH(32,'Sign-ups'!$AO$2:$AO$301,0)),"")</f>
        <v/>
      </c>
      <c r="D37" s="27">
        <f>IFERROR(INDEX('Sign-ups'!$AG$2:$AG$301,MATCH(32,'Sign-ups'!$AO$2:$AO$301,0)),"")</f>
        <v/>
      </c>
      <c r="E37" s="27">
        <f>IFERROR(INDEX('Sign-ups'!$AH$2:$AH$301,MATCH(32,'Sign-ups'!$AO$2:$AO$301,0)),"")</f>
        <v/>
      </c>
      <c r="F37" s="27">
        <f>IFERROR(INDEX('Sign-ups'!$AI$2:$AI$301,MATCH(32,'Sign-ups'!$AO$2:$AO$301,0)),"")</f>
        <v/>
      </c>
      <c r="G37" s="27">
        <f>IFERROR(INDEX('Sign-ups'!$AK$2:$AK$301,MATCH(32,'Sign-ups'!$AO$2:$AO$301,0)),"")</f>
        <v/>
      </c>
      <c r="H37" s="26">
        <f>IFERROR(INDEX('Sign-ups'!$AJ$2:$AJ$301,MATCH(32,'Sign-ups'!$AO$2:$AO$301,0)),"")</f>
        <v/>
      </c>
      <c r="I37" s="26">
        <f>IFERROR(INDEX('Sign-ups'!$AN$2:$AN$301,MATCH(32,'Sign-ups'!$AO$2:$AO$301,0)),"")</f>
        <v/>
      </c>
      <c r="J37" s="26">
        <f>IFERROR(INDEX('Sign-ups'!$AA$2:$AA$301,MATCH(32,'Sign-ups'!$AO$2:$AO$301,0))&amp;"","")</f>
        <v/>
      </c>
      <c r="K37" s="27">
        <f>IFERROR(INDEX('Sign-ups'!$AB$2:$AB$301,MATCH(32,'Sign-ups'!$AO$2:$AO$301,0))&amp;"","")</f>
        <v/>
      </c>
    </row>
    <row r="38">
      <c r="A38" s="26">
        <f>IF(ISNUMBER(MATCH(33,'Sign-ups'!$AO$2:$AO$301,0)),33,"")</f>
        <v/>
      </c>
      <c r="B38" s="27">
        <f>IFERROR(INDEX('Sign-ups'!$AE$2:$AE$301,MATCH(33,'Sign-ups'!$AO$2:$AO$301,0)),"")</f>
        <v/>
      </c>
      <c r="C38" s="27">
        <f>IFERROR(INDEX('Sign-ups'!$AF$2:$AF$301,MATCH(33,'Sign-ups'!$AO$2:$AO$301,0)),"")</f>
        <v/>
      </c>
      <c r="D38" s="27">
        <f>IFERROR(INDEX('Sign-ups'!$AG$2:$AG$301,MATCH(33,'Sign-ups'!$AO$2:$AO$301,0)),"")</f>
        <v/>
      </c>
      <c r="E38" s="27">
        <f>IFERROR(INDEX('Sign-ups'!$AH$2:$AH$301,MATCH(33,'Sign-ups'!$AO$2:$AO$301,0)),"")</f>
        <v/>
      </c>
      <c r="F38" s="27">
        <f>IFERROR(INDEX('Sign-ups'!$AI$2:$AI$301,MATCH(33,'Sign-ups'!$AO$2:$AO$301,0)),"")</f>
        <v/>
      </c>
      <c r="G38" s="27">
        <f>IFERROR(INDEX('Sign-ups'!$AK$2:$AK$301,MATCH(33,'Sign-ups'!$AO$2:$AO$301,0)),"")</f>
        <v/>
      </c>
      <c r="H38" s="26">
        <f>IFERROR(INDEX('Sign-ups'!$AJ$2:$AJ$301,MATCH(33,'Sign-ups'!$AO$2:$AO$301,0)),"")</f>
        <v/>
      </c>
      <c r="I38" s="26">
        <f>IFERROR(INDEX('Sign-ups'!$AN$2:$AN$301,MATCH(33,'Sign-ups'!$AO$2:$AO$301,0)),"")</f>
        <v/>
      </c>
      <c r="J38" s="26">
        <f>IFERROR(INDEX('Sign-ups'!$AA$2:$AA$301,MATCH(33,'Sign-ups'!$AO$2:$AO$301,0))&amp;"","")</f>
        <v/>
      </c>
      <c r="K38" s="27">
        <f>IFERROR(INDEX('Sign-ups'!$AB$2:$AB$301,MATCH(33,'Sign-ups'!$AO$2:$AO$301,0))&amp;"","")</f>
        <v/>
      </c>
    </row>
    <row r="39">
      <c r="A39" s="26">
        <f>IF(ISNUMBER(MATCH(34,'Sign-ups'!$AO$2:$AO$301,0)),34,"")</f>
        <v/>
      </c>
      <c r="B39" s="27">
        <f>IFERROR(INDEX('Sign-ups'!$AE$2:$AE$301,MATCH(34,'Sign-ups'!$AO$2:$AO$301,0)),"")</f>
        <v/>
      </c>
      <c r="C39" s="27">
        <f>IFERROR(INDEX('Sign-ups'!$AF$2:$AF$301,MATCH(34,'Sign-ups'!$AO$2:$AO$301,0)),"")</f>
        <v/>
      </c>
      <c r="D39" s="27">
        <f>IFERROR(INDEX('Sign-ups'!$AG$2:$AG$301,MATCH(34,'Sign-ups'!$AO$2:$AO$301,0)),"")</f>
        <v/>
      </c>
      <c r="E39" s="27">
        <f>IFERROR(INDEX('Sign-ups'!$AH$2:$AH$301,MATCH(34,'Sign-ups'!$AO$2:$AO$301,0)),"")</f>
        <v/>
      </c>
      <c r="F39" s="27">
        <f>IFERROR(INDEX('Sign-ups'!$AI$2:$AI$301,MATCH(34,'Sign-ups'!$AO$2:$AO$301,0)),"")</f>
        <v/>
      </c>
      <c r="G39" s="27">
        <f>IFERROR(INDEX('Sign-ups'!$AK$2:$AK$301,MATCH(34,'Sign-ups'!$AO$2:$AO$301,0)),"")</f>
        <v/>
      </c>
      <c r="H39" s="26">
        <f>IFERROR(INDEX('Sign-ups'!$AJ$2:$AJ$301,MATCH(34,'Sign-ups'!$AO$2:$AO$301,0)),"")</f>
        <v/>
      </c>
      <c r="I39" s="26">
        <f>IFERROR(INDEX('Sign-ups'!$AN$2:$AN$301,MATCH(34,'Sign-ups'!$AO$2:$AO$301,0)),"")</f>
        <v/>
      </c>
      <c r="J39" s="26">
        <f>IFERROR(INDEX('Sign-ups'!$AA$2:$AA$301,MATCH(34,'Sign-ups'!$AO$2:$AO$301,0))&amp;"","")</f>
        <v/>
      </c>
      <c r="K39" s="27">
        <f>IFERROR(INDEX('Sign-ups'!$AB$2:$AB$301,MATCH(34,'Sign-ups'!$AO$2:$AO$301,0))&amp;"","")</f>
        <v/>
      </c>
    </row>
    <row r="40">
      <c r="A40" s="26">
        <f>IF(ISNUMBER(MATCH(35,'Sign-ups'!$AO$2:$AO$301,0)),35,"")</f>
        <v/>
      </c>
      <c r="B40" s="27">
        <f>IFERROR(INDEX('Sign-ups'!$AE$2:$AE$301,MATCH(35,'Sign-ups'!$AO$2:$AO$301,0)),"")</f>
        <v/>
      </c>
      <c r="C40" s="27">
        <f>IFERROR(INDEX('Sign-ups'!$AF$2:$AF$301,MATCH(35,'Sign-ups'!$AO$2:$AO$301,0)),"")</f>
        <v/>
      </c>
      <c r="D40" s="27">
        <f>IFERROR(INDEX('Sign-ups'!$AG$2:$AG$301,MATCH(35,'Sign-ups'!$AO$2:$AO$301,0)),"")</f>
        <v/>
      </c>
      <c r="E40" s="27">
        <f>IFERROR(INDEX('Sign-ups'!$AH$2:$AH$301,MATCH(35,'Sign-ups'!$AO$2:$AO$301,0)),"")</f>
        <v/>
      </c>
      <c r="F40" s="27">
        <f>IFERROR(INDEX('Sign-ups'!$AI$2:$AI$301,MATCH(35,'Sign-ups'!$AO$2:$AO$301,0)),"")</f>
        <v/>
      </c>
      <c r="G40" s="27">
        <f>IFERROR(INDEX('Sign-ups'!$AK$2:$AK$301,MATCH(35,'Sign-ups'!$AO$2:$AO$301,0)),"")</f>
        <v/>
      </c>
      <c r="H40" s="26">
        <f>IFERROR(INDEX('Sign-ups'!$AJ$2:$AJ$301,MATCH(35,'Sign-ups'!$AO$2:$AO$301,0)),"")</f>
        <v/>
      </c>
      <c r="I40" s="26">
        <f>IFERROR(INDEX('Sign-ups'!$AN$2:$AN$301,MATCH(35,'Sign-ups'!$AO$2:$AO$301,0)),"")</f>
        <v/>
      </c>
      <c r="J40" s="26">
        <f>IFERROR(INDEX('Sign-ups'!$AA$2:$AA$301,MATCH(35,'Sign-ups'!$AO$2:$AO$301,0))&amp;"","")</f>
        <v/>
      </c>
      <c r="K40" s="27">
        <f>IFERROR(INDEX('Sign-ups'!$AB$2:$AB$301,MATCH(35,'Sign-ups'!$AO$2:$AO$301,0))&amp;"","")</f>
        <v/>
      </c>
    </row>
    <row r="41">
      <c r="A41" s="26">
        <f>IF(ISNUMBER(MATCH(36,'Sign-ups'!$AO$2:$AO$301,0)),36,"")</f>
        <v/>
      </c>
      <c r="B41" s="27">
        <f>IFERROR(INDEX('Sign-ups'!$AE$2:$AE$301,MATCH(36,'Sign-ups'!$AO$2:$AO$301,0)),"")</f>
        <v/>
      </c>
      <c r="C41" s="27">
        <f>IFERROR(INDEX('Sign-ups'!$AF$2:$AF$301,MATCH(36,'Sign-ups'!$AO$2:$AO$301,0)),"")</f>
        <v/>
      </c>
      <c r="D41" s="27">
        <f>IFERROR(INDEX('Sign-ups'!$AG$2:$AG$301,MATCH(36,'Sign-ups'!$AO$2:$AO$301,0)),"")</f>
        <v/>
      </c>
      <c r="E41" s="27">
        <f>IFERROR(INDEX('Sign-ups'!$AH$2:$AH$301,MATCH(36,'Sign-ups'!$AO$2:$AO$301,0)),"")</f>
        <v/>
      </c>
      <c r="F41" s="27">
        <f>IFERROR(INDEX('Sign-ups'!$AI$2:$AI$301,MATCH(36,'Sign-ups'!$AO$2:$AO$301,0)),"")</f>
        <v/>
      </c>
      <c r="G41" s="27">
        <f>IFERROR(INDEX('Sign-ups'!$AK$2:$AK$301,MATCH(36,'Sign-ups'!$AO$2:$AO$301,0)),"")</f>
        <v/>
      </c>
      <c r="H41" s="26">
        <f>IFERROR(INDEX('Sign-ups'!$AJ$2:$AJ$301,MATCH(36,'Sign-ups'!$AO$2:$AO$301,0)),"")</f>
        <v/>
      </c>
      <c r="I41" s="26">
        <f>IFERROR(INDEX('Sign-ups'!$AN$2:$AN$301,MATCH(36,'Sign-ups'!$AO$2:$AO$301,0)),"")</f>
        <v/>
      </c>
      <c r="J41" s="26">
        <f>IFERROR(INDEX('Sign-ups'!$AA$2:$AA$301,MATCH(36,'Sign-ups'!$AO$2:$AO$301,0))&amp;"","")</f>
        <v/>
      </c>
      <c r="K41" s="27">
        <f>IFERROR(INDEX('Sign-ups'!$AB$2:$AB$301,MATCH(36,'Sign-ups'!$AO$2:$AO$301,0))&amp;"","")</f>
        <v/>
      </c>
    </row>
    <row r="42">
      <c r="A42" s="26">
        <f>IF(ISNUMBER(MATCH(37,'Sign-ups'!$AO$2:$AO$301,0)),37,"")</f>
        <v/>
      </c>
      <c r="B42" s="27">
        <f>IFERROR(INDEX('Sign-ups'!$AE$2:$AE$301,MATCH(37,'Sign-ups'!$AO$2:$AO$301,0)),"")</f>
        <v/>
      </c>
      <c r="C42" s="27">
        <f>IFERROR(INDEX('Sign-ups'!$AF$2:$AF$301,MATCH(37,'Sign-ups'!$AO$2:$AO$301,0)),"")</f>
        <v/>
      </c>
      <c r="D42" s="27">
        <f>IFERROR(INDEX('Sign-ups'!$AG$2:$AG$301,MATCH(37,'Sign-ups'!$AO$2:$AO$301,0)),"")</f>
        <v/>
      </c>
      <c r="E42" s="27">
        <f>IFERROR(INDEX('Sign-ups'!$AH$2:$AH$301,MATCH(37,'Sign-ups'!$AO$2:$AO$301,0)),"")</f>
        <v/>
      </c>
      <c r="F42" s="27">
        <f>IFERROR(INDEX('Sign-ups'!$AI$2:$AI$301,MATCH(37,'Sign-ups'!$AO$2:$AO$301,0)),"")</f>
        <v/>
      </c>
      <c r="G42" s="27">
        <f>IFERROR(INDEX('Sign-ups'!$AK$2:$AK$301,MATCH(37,'Sign-ups'!$AO$2:$AO$301,0)),"")</f>
        <v/>
      </c>
      <c r="H42" s="26">
        <f>IFERROR(INDEX('Sign-ups'!$AJ$2:$AJ$301,MATCH(37,'Sign-ups'!$AO$2:$AO$301,0)),"")</f>
        <v/>
      </c>
      <c r="I42" s="26">
        <f>IFERROR(INDEX('Sign-ups'!$AN$2:$AN$301,MATCH(37,'Sign-ups'!$AO$2:$AO$301,0)),"")</f>
        <v/>
      </c>
      <c r="J42" s="26">
        <f>IFERROR(INDEX('Sign-ups'!$AA$2:$AA$301,MATCH(37,'Sign-ups'!$AO$2:$AO$301,0))&amp;"","")</f>
        <v/>
      </c>
      <c r="K42" s="27">
        <f>IFERROR(INDEX('Sign-ups'!$AB$2:$AB$301,MATCH(37,'Sign-ups'!$AO$2:$AO$301,0))&amp;"","")</f>
        <v/>
      </c>
    </row>
    <row r="43">
      <c r="A43" s="26">
        <f>IF(ISNUMBER(MATCH(38,'Sign-ups'!$AO$2:$AO$301,0)),38,"")</f>
        <v/>
      </c>
      <c r="B43" s="27">
        <f>IFERROR(INDEX('Sign-ups'!$AE$2:$AE$301,MATCH(38,'Sign-ups'!$AO$2:$AO$301,0)),"")</f>
        <v/>
      </c>
      <c r="C43" s="27">
        <f>IFERROR(INDEX('Sign-ups'!$AF$2:$AF$301,MATCH(38,'Sign-ups'!$AO$2:$AO$301,0)),"")</f>
        <v/>
      </c>
      <c r="D43" s="27">
        <f>IFERROR(INDEX('Sign-ups'!$AG$2:$AG$301,MATCH(38,'Sign-ups'!$AO$2:$AO$301,0)),"")</f>
        <v/>
      </c>
      <c r="E43" s="27">
        <f>IFERROR(INDEX('Sign-ups'!$AH$2:$AH$301,MATCH(38,'Sign-ups'!$AO$2:$AO$301,0)),"")</f>
        <v/>
      </c>
      <c r="F43" s="27">
        <f>IFERROR(INDEX('Sign-ups'!$AI$2:$AI$301,MATCH(38,'Sign-ups'!$AO$2:$AO$301,0)),"")</f>
        <v/>
      </c>
      <c r="G43" s="27">
        <f>IFERROR(INDEX('Sign-ups'!$AK$2:$AK$301,MATCH(38,'Sign-ups'!$AO$2:$AO$301,0)),"")</f>
        <v/>
      </c>
      <c r="H43" s="26">
        <f>IFERROR(INDEX('Sign-ups'!$AJ$2:$AJ$301,MATCH(38,'Sign-ups'!$AO$2:$AO$301,0)),"")</f>
        <v/>
      </c>
      <c r="I43" s="26">
        <f>IFERROR(INDEX('Sign-ups'!$AN$2:$AN$301,MATCH(38,'Sign-ups'!$AO$2:$AO$301,0)),"")</f>
        <v/>
      </c>
      <c r="J43" s="26">
        <f>IFERROR(INDEX('Sign-ups'!$AA$2:$AA$301,MATCH(38,'Sign-ups'!$AO$2:$AO$301,0))&amp;"","")</f>
        <v/>
      </c>
      <c r="K43" s="27">
        <f>IFERROR(INDEX('Sign-ups'!$AB$2:$AB$301,MATCH(38,'Sign-ups'!$AO$2:$AO$301,0))&amp;"","")</f>
        <v/>
      </c>
    </row>
    <row r="44">
      <c r="A44" s="26">
        <f>IF(ISNUMBER(MATCH(39,'Sign-ups'!$AO$2:$AO$301,0)),39,"")</f>
        <v/>
      </c>
      <c r="B44" s="27">
        <f>IFERROR(INDEX('Sign-ups'!$AE$2:$AE$301,MATCH(39,'Sign-ups'!$AO$2:$AO$301,0)),"")</f>
        <v/>
      </c>
      <c r="C44" s="27">
        <f>IFERROR(INDEX('Sign-ups'!$AF$2:$AF$301,MATCH(39,'Sign-ups'!$AO$2:$AO$301,0)),"")</f>
        <v/>
      </c>
      <c r="D44" s="27">
        <f>IFERROR(INDEX('Sign-ups'!$AG$2:$AG$301,MATCH(39,'Sign-ups'!$AO$2:$AO$301,0)),"")</f>
        <v/>
      </c>
      <c r="E44" s="27">
        <f>IFERROR(INDEX('Sign-ups'!$AH$2:$AH$301,MATCH(39,'Sign-ups'!$AO$2:$AO$301,0)),"")</f>
        <v/>
      </c>
      <c r="F44" s="27">
        <f>IFERROR(INDEX('Sign-ups'!$AI$2:$AI$301,MATCH(39,'Sign-ups'!$AO$2:$AO$301,0)),"")</f>
        <v/>
      </c>
      <c r="G44" s="27">
        <f>IFERROR(INDEX('Sign-ups'!$AK$2:$AK$301,MATCH(39,'Sign-ups'!$AO$2:$AO$301,0)),"")</f>
        <v/>
      </c>
      <c r="H44" s="26">
        <f>IFERROR(INDEX('Sign-ups'!$AJ$2:$AJ$301,MATCH(39,'Sign-ups'!$AO$2:$AO$301,0)),"")</f>
        <v/>
      </c>
      <c r="I44" s="26">
        <f>IFERROR(INDEX('Sign-ups'!$AN$2:$AN$301,MATCH(39,'Sign-ups'!$AO$2:$AO$301,0)),"")</f>
        <v/>
      </c>
      <c r="J44" s="26">
        <f>IFERROR(INDEX('Sign-ups'!$AA$2:$AA$301,MATCH(39,'Sign-ups'!$AO$2:$AO$301,0))&amp;"","")</f>
        <v/>
      </c>
      <c r="K44" s="27">
        <f>IFERROR(INDEX('Sign-ups'!$AB$2:$AB$301,MATCH(39,'Sign-ups'!$AO$2:$AO$301,0))&amp;"","")</f>
        <v/>
      </c>
    </row>
    <row r="45">
      <c r="A45" s="26">
        <f>IF(ISNUMBER(MATCH(40,'Sign-ups'!$AO$2:$AO$301,0)),40,"")</f>
        <v/>
      </c>
      <c r="B45" s="27">
        <f>IFERROR(INDEX('Sign-ups'!$AE$2:$AE$301,MATCH(40,'Sign-ups'!$AO$2:$AO$301,0)),"")</f>
        <v/>
      </c>
      <c r="C45" s="27">
        <f>IFERROR(INDEX('Sign-ups'!$AF$2:$AF$301,MATCH(40,'Sign-ups'!$AO$2:$AO$301,0)),"")</f>
        <v/>
      </c>
      <c r="D45" s="27">
        <f>IFERROR(INDEX('Sign-ups'!$AG$2:$AG$301,MATCH(40,'Sign-ups'!$AO$2:$AO$301,0)),"")</f>
        <v/>
      </c>
      <c r="E45" s="27">
        <f>IFERROR(INDEX('Sign-ups'!$AH$2:$AH$301,MATCH(40,'Sign-ups'!$AO$2:$AO$301,0)),"")</f>
        <v/>
      </c>
      <c r="F45" s="27">
        <f>IFERROR(INDEX('Sign-ups'!$AI$2:$AI$301,MATCH(40,'Sign-ups'!$AO$2:$AO$301,0)),"")</f>
        <v/>
      </c>
      <c r="G45" s="27">
        <f>IFERROR(INDEX('Sign-ups'!$AK$2:$AK$301,MATCH(40,'Sign-ups'!$AO$2:$AO$301,0)),"")</f>
        <v/>
      </c>
      <c r="H45" s="26">
        <f>IFERROR(INDEX('Sign-ups'!$AJ$2:$AJ$301,MATCH(40,'Sign-ups'!$AO$2:$AO$301,0)),"")</f>
        <v/>
      </c>
      <c r="I45" s="26">
        <f>IFERROR(INDEX('Sign-ups'!$AN$2:$AN$301,MATCH(40,'Sign-ups'!$AO$2:$AO$301,0)),"")</f>
        <v/>
      </c>
      <c r="J45" s="26">
        <f>IFERROR(INDEX('Sign-ups'!$AA$2:$AA$301,MATCH(40,'Sign-ups'!$AO$2:$AO$301,0))&amp;"","")</f>
        <v/>
      </c>
      <c r="K45" s="27">
        <f>IFERROR(INDEX('Sign-ups'!$AB$2:$AB$301,MATCH(40,'Sign-ups'!$AO$2:$AO$301,0))&amp;"","")</f>
        <v/>
      </c>
    </row>
    <row r="46">
      <c r="A46" s="26">
        <f>IF(ISNUMBER(MATCH(41,'Sign-ups'!$AO$2:$AO$301,0)),41,"")</f>
        <v/>
      </c>
      <c r="B46" s="27">
        <f>IFERROR(INDEX('Sign-ups'!$AE$2:$AE$301,MATCH(41,'Sign-ups'!$AO$2:$AO$301,0)),"")</f>
        <v/>
      </c>
      <c r="C46" s="27">
        <f>IFERROR(INDEX('Sign-ups'!$AF$2:$AF$301,MATCH(41,'Sign-ups'!$AO$2:$AO$301,0)),"")</f>
        <v/>
      </c>
      <c r="D46" s="27">
        <f>IFERROR(INDEX('Sign-ups'!$AG$2:$AG$301,MATCH(41,'Sign-ups'!$AO$2:$AO$301,0)),"")</f>
        <v/>
      </c>
      <c r="E46" s="27">
        <f>IFERROR(INDEX('Sign-ups'!$AH$2:$AH$301,MATCH(41,'Sign-ups'!$AO$2:$AO$301,0)),"")</f>
        <v/>
      </c>
      <c r="F46" s="27">
        <f>IFERROR(INDEX('Sign-ups'!$AI$2:$AI$301,MATCH(41,'Sign-ups'!$AO$2:$AO$301,0)),"")</f>
        <v/>
      </c>
      <c r="G46" s="27">
        <f>IFERROR(INDEX('Sign-ups'!$AK$2:$AK$301,MATCH(41,'Sign-ups'!$AO$2:$AO$301,0)),"")</f>
        <v/>
      </c>
      <c r="H46" s="26">
        <f>IFERROR(INDEX('Sign-ups'!$AJ$2:$AJ$301,MATCH(41,'Sign-ups'!$AO$2:$AO$301,0)),"")</f>
        <v/>
      </c>
      <c r="I46" s="26">
        <f>IFERROR(INDEX('Sign-ups'!$AN$2:$AN$301,MATCH(41,'Sign-ups'!$AO$2:$AO$301,0)),"")</f>
        <v/>
      </c>
      <c r="J46" s="26">
        <f>IFERROR(INDEX('Sign-ups'!$AA$2:$AA$301,MATCH(41,'Sign-ups'!$AO$2:$AO$301,0))&amp;"","")</f>
        <v/>
      </c>
      <c r="K46" s="27">
        <f>IFERROR(INDEX('Sign-ups'!$AB$2:$AB$301,MATCH(41,'Sign-ups'!$AO$2:$AO$301,0))&amp;"","")</f>
        <v/>
      </c>
    </row>
    <row r="47">
      <c r="A47" s="26">
        <f>IF(ISNUMBER(MATCH(42,'Sign-ups'!$AO$2:$AO$301,0)),42,"")</f>
        <v/>
      </c>
      <c r="B47" s="27">
        <f>IFERROR(INDEX('Sign-ups'!$AE$2:$AE$301,MATCH(42,'Sign-ups'!$AO$2:$AO$301,0)),"")</f>
        <v/>
      </c>
      <c r="C47" s="27">
        <f>IFERROR(INDEX('Sign-ups'!$AF$2:$AF$301,MATCH(42,'Sign-ups'!$AO$2:$AO$301,0)),"")</f>
        <v/>
      </c>
      <c r="D47" s="27">
        <f>IFERROR(INDEX('Sign-ups'!$AG$2:$AG$301,MATCH(42,'Sign-ups'!$AO$2:$AO$301,0)),"")</f>
        <v/>
      </c>
      <c r="E47" s="27">
        <f>IFERROR(INDEX('Sign-ups'!$AH$2:$AH$301,MATCH(42,'Sign-ups'!$AO$2:$AO$301,0)),"")</f>
        <v/>
      </c>
      <c r="F47" s="27">
        <f>IFERROR(INDEX('Sign-ups'!$AI$2:$AI$301,MATCH(42,'Sign-ups'!$AO$2:$AO$301,0)),"")</f>
        <v/>
      </c>
      <c r="G47" s="27">
        <f>IFERROR(INDEX('Sign-ups'!$AK$2:$AK$301,MATCH(42,'Sign-ups'!$AO$2:$AO$301,0)),"")</f>
        <v/>
      </c>
      <c r="H47" s="26">
        <f>IFERROR(INDEX('Sign-ups'!$AJ$2:$AJ$301,MATCH(42,'Sign-ups'!$AO$2:$AO$301,0)),"")</f>
        <v/>
      </c>
      <c r="I47" s="26">
        <f>IFERROR(INDEX('Sign-ups'!$AN$2:$AN$301,MATCH(42,'Sign-ups'!$AO$2:$AO$301,0)),"")</f>
        <v/>
      </c>
      <c r="J47" s="26">
        <f>IFERROR(INDEX('Sign-ups'!$AA$2:$AA$301,MATCH(42,'Sign-ups'!$AO$2:$AO$301,0))&amp;"","")</f>
        <v/>
      </c>
      <c r="K47" s="27">
        <f>IFERROR(INDEX('Sign-ups'!$AB$2:$AB$301,MATCH(42,'Sign-ups'!$AO$2:$AO$301,0))&amp;"","")</f>
        <v/>
      </c>
    </row>
    <row r="48">
      <c r="A48" s="26">
        <f>IF(ISNUMBER(MATCH(43,'Sign-ups'!$AO$2:$AO$301,0)),43,"")</f>
        <v/>
      </c>
      <c r="B48" s="27">
        <f>IFERROR(INDEX('Sign-ups'!$AE$2:$AE$301,MATCH(43,'Sign-ups'!$AO$2:$AO$301,0)),"")</f>
        <v/>
      </c>
      <c r="C48" s="27">
        <f>IFERROR(INDEX('Sign-ups'!$AF$2:$AF$301,MATCH(43,'Sign-ups'!$AO$2:$AO$301,0)),"")</f>
        <v/>
      </c>
      <c r="D48" s="27">
        <f>IFERROR(INDEX('Sign-ups'!$AG$2:$AG$301,MATCH(43,'Sign-ups'!$AO$2:$AO$301,0)),"")</f>
        <v/>
      </c>
      <c r="E48" s="27">
        <f>IFERROR(INDEX('Sign-ups'!$AH$2:$AH$301,MATCH(43,'Sign-ups'!$AO$2:$AO$301,0)),"")</f>
        <v/>
      </c>
      <c r="F48" s="27">
        <f>IFERROR(INDEX('Sign-ups'!$AI$2:$AI$301,MATCH(43,'Sign-ups'!$AO$2:$AO$301,0)),"")</f>
        <v/>
      </c>
      <c r="G48" s="27">
        <f>IFERROR(INDEX('Sign-ups'!$AK$2:$AK$301,MATCH(43,'Sign-ups'!$AO$2:$AO$301,0)),"")</f>
        <v/>
      </c>
      <c r="H48" s="26">
        <f>IFERROR(INDEX('Sign-ups'!$AJ$2:$AJ$301,MATCH(43,'Sign-ups'!$AO$2:$AO$301,0)),"")</f>
        <v/>
      </c>
      <c r="I48" s="26">
        <f>IFERROR(INDEX('Sign-ups'!$AN$2:$AN$301,MATCH(43,'Sign-ups'!$AO$2:$AO$301,0)),"")</f>
        <v/>
      </c>
      <c r="J48" s="26">
        <f>IFERROR(INDEX('Sign-ups'!$AA$2:$AA$301,MATCH(43,'Sign-ups'!$AO$2:$AO$301,0))&amp;"","")</f>
        <v/>
      </c>
      <c r="K48" s="27">
        <f>IFERROR(INDEX('Sign-ups'!$AB$2:$AB$301,MATCH(43,'Sign-ups'!$AO$2:$AO$301,0))&amp;"","")</f>
        <v/>
      </c>
    </row>
    <row r="49">
      <c r="A49" s="26">
        <f>IF(ISNUMBER(MATCH(44,'Sign-ups'!$AO$2:$AO$301,0)),44,"")</f>
        <v/>
      </c>
      <c r="B49" s="27">
        <f>IFERROR(INDEX('Sign-ups'!$AE$2:$AE$301,MATCH(44,'Sign-ups'!$AO$2:$AO$301,0)),"")</f>
        <v/>
      </c>
      <c r="C49" s="27">
        <f>IFERROR(INDEX('Sign-ups'!$AF$2:$AF$301,MATCH(44,'Sign-ups'!$AO$2:$AO$301,0)),"")</f>
        <v/>
      </c>
      <c r="D49" s="27">
        <f>IFERROR(INDEX('Sign-ups'!$AG$2:$AG$301,MATCH(44,'Sign-ups'!$AO$2:$AO$301,0)),"")</f>
        <v/>
      </c>
      <c r="E49" s="27">
        <f>IFERROR(INDEX('Sign-ups'!$AH$2:$AH$301,MATCH(44,'Sign-ups'!$AO$2:$AO$301,0)),"")</f>
        <v/>
      </c>
      <c r="F49" s="27">
        <f>IFERROR(INDEX('Sign-ups'!$AI$2:$AI$301,MATCH(44,'Sign-ups'!$AO$2:$AO$301,0)),"")</f>
        <v/>
      </c>
      <c r="G49" s="27">
        <f>IFERROR(INDEX('Sign-ups'!$AK$2:$AK$301,MATCH(44,'Sign-ups'!$AO$2:$AO$301,0)),"")</f>
        <v/>
      </c>
      <c r="H49" s="26">
        <f>IFERROR(INDEX('Sign-ups'!$AJ$2:$AJ$301,MATCH(44,'Sign-ups'!$AO$2:$AO$301,0)),"")</f>
        <v/>
      </c>
      <c r="I49" s="26">
        <f>IFERROR(INDEX('Sign-ups'!$AN$2:$AN$301,MATCH(44,'Sign-ups'!$AO$2:$AO$301,0)),"")</f>
        <v/>
      </c>
      <c r="J49" s="26">
        <f>IFERROR(INDEX('Sign-ups'!$AA$2:$AA$301,MATCH(44,'Sign-ups'!$AO$2:$AO$301,0))&amp;"","")</f>
        <v/>
      </c>
      <c r="K49" s="27">
        <f>IFERROR(INDEX('Sign-ups'!$AB$2:$AB$301,MATCH(44,'Sign-ups'!$AO$2:$AO$301,0))&amp;"","")</f>
        <v/>
      </c>
    </row>
    <row r="50">
      <c r="A50" s="26">
        <f>IF(ISNUMBER(MATCH(45,'Sign-ups'!$AO$2:$AO$301,0)),45,"")</f>
        <v/>
      </c>
      <c r="B50" s="27">
        <f>IFERROR(INDEX('Sign-ups'!$AE$2:$AE$301,MATCH(45,'Sign-ups'!$AO$2:$AO$301,0)),"")</f>
        <v/>
      </c>
      <c r="C50" s="27">
        <f>IFERROR(INDEX('Sign-ups'!$AF$2:$AF$301,MATCH(45,'Sign-ups'!$AO$2:$AO$301,0)),"")</f>
        <v/>
      </c>
      <c r="D50" s="27">
        <f>IFERROR(INDEX('Sign-ups'!$AG$2:$AG$301,MATCH(45,'Sign-ups'!$AO$2:$AO$301,0)),"")</f>
        <v/>
      </c>
      <c r="E50" s="27">
        <f>IFERROR(INDEX('Sign-ups'!$AH$2:$AH$301,MATCH(45,'Sign-ups'!$AO$2:$AO$301,0)),"")</f>
        <v/>
      </c>
      <c r="F50" s="27">
        <f>IFERROR(INDEX('Sign-ups'!$AI$2:$AI$301,MATCH(45,'Sign-ups'!$AO$2:$AO$301,0)),"")</f>
        <v/>
      </c>
      <c r="G50" s="27">
        <f>IFERROR(INDEX('Sign-ups'!$AK$2:$AK$301,MATCH(45,'Sign-ups'!$AO$2:$AO$301,0)),"")</f>
        <v/>
      </c>
      <c r="H50" s="26">
        <f>IFERROR(INDEX('Sign-ups'!$AJ$2:$AJ$301,MATCH(45,'Sign-ups'!$AO$2:$AO$301,0)),"")</f>
        <v/>
      </c>
      <c r="I50" s="26">
        <f>IFERROR(INDEX('Sign-ups'!$AN$2:$AN$301,MATCH(45,'Sign-ups'!$AO$2:$AO$301,0)),"")</f>
        <v/>
      </c>
      <c r="J50" s="26">
        <f>IFERROR(INDEX('Sign-ups'!$AA$2:$AA$301,MATCH(45,'Sign-ups'!$AO$2:$AO$301,0))&amp;"","")</f>
        <v/>
      </c>
      <c r="K50" s="27">
        <f>IFERROR(INDEX('Sign-ups'!$AB$2:$AB$301,MATCH(45,'Sign-ups'!$AO$2:$AO$301,0))&amp;"","")</f>
        <v/>
      </c>
    </row>
    <row r="51">
      <c r="A51" s="26">
        <f>IF(ISNUMBER(MATCH(46,'Sign-ups'!$AO$2:$AO$301,0)),46,"")</f>
        <v/>
      </c>
      <c r="B51" s="27">
        <f>IFERROR(INDEX('Sign-ups'!$AE$2:$AE$301,MATCH(46,'Sign-ups'!$AO$2:$AO$301,0)),"")</f>
        <v/>
      </c>
      <c r="C51" s="27">
        <f>IFERROR(INDEX('Sign-ups'!$AF$2:$AF$301,MATCH(46,'Sign-ups'!$AO$2:$AO$301,0)),"")</f>
        <v/>
      </c>
      <c r="D51" s="27">
        <f>IFERROR(INDEX('Sign-ups'!$AG$2:$AG$301,MATCH(46,'Sign-ups'!$AO$2:$AO$301,0)),"")</f>
        <v/>
      </c>
      <c r="E51" s="27">
        <f>IFERROR(INDEX('Sign-ups'!$AH$2:$AH$301,MATCH(46,'Sign-ups'!$AO$2:$AO$301,0)),"")</f>
        <v/>
      </c>
      <c r="F51" s="27">
        <f>IFERROR(INDEX('Sign-ups'!$AI$2:$AI$301,MATCH(46,'Sign-ups'!$AO$2:$AO$301,0)),"")</f>
        <v/>
      </c>
      <c r="G51" s="27">
        <f>IFERROR(INDEX('Sign-ups'!$AK$2:$AK$301,MATCH(46,'Sign-ups'!$AO$2:$AO$301,0)),"")</f>
        <v/>
      </c>
      <c r="H51" s="26">
        <f>IFERROR(INDEX('Sign-ups'!$AJ$2:$AJ$301,MATCH(46,'Sign-ups'!$AO$2:$AO$301,0)),"")</f>
        <v/>
      </c>
      <c r="I51" s="26">
        <f>IFERROR(INDEX('Sign-ups'!$AN$2:$AN$301,MATCH(46,'Sign-ups'!$AO$2:$AO$301,0)),"")</f>
        <v/>
      </c>
      <c r="J51" s="26">
        <f>IFERROR(INDEX('Sign-ups'!$AA$2:$AA$301,MATCH(46,'Sign-ups'!$AO$2:$AO$301,0))&amp;"","")</f>
        <v/>
      </c>
      <c r="K51" s="27">
        <f>IFERROR(INDEX('Sign-ups'!$AB$2:$AB$301,MATCH(46,'Sign-ups'!$AO$2:$AO$301,0))&amp;"","")</f>
        <v/>
      </c>
    </row>
    <row r="52">
      <c r="A52" s="26">
        <f>IF(ISNUMBER(MATCH(47,'Sign-ups'!$AO$2:$AO$301,0)),47,"")</f>
        <v/>
      </c>
      <c r="B52" s="27">
        <f>IFERROR(INDEX('Sign-ups'!$AE$2:$AE$301,MATCH(47,'Sign-ups'!$AO$2:$AO$301,0)),"")</f>
        <v/>
      </c>
      <c r="C52" s="27">
        <f>IFERROR(INDEX('Sign-ups'!$AF$2:$AF$301,MATCH(47,'Sign-ups'!$AO$2:$AO$301,0)),"")</f>
        <v/>
      </c>
      <c r="D52" s="27">
        <f>IFERROR(INDEX('Sign-ups'!$AG$2:$AG$301,MATCH(47,'Sign-ups'!$AO$2:$AO$301,0)),"")</f>
        <v/>
      </c>
      <c r="E52" s="27">
        <f>IFERROR(INDEX('Sign-ups'!$AH$2:$AH$301,MATCH(47,'Sign-ups'!$AO$2:$AO$301,0)),"")</f>
        <v/>
      </c>
      <c r="F52" s="27">
        <f>IFERROR(INDEX('Sign-ups'!$AI$2:$AI$301,MATCH(47,'Sign-ups'!$AO$2:$AO$301,0)),"")</f>
        <v/>
      </c>
      <c r="G52" s="27">
        <f>IFERROR(INDEX('Sign-ups'!$AK$2:$AK$301,MATCH(47,'Sign-ups'!$AO$2:$AO$301,0)),"")</f>
        <v/>
      </c>
      <c r="H52" s="26">
        <f>IFERROR(INDEX('Sign-ups'!$AJ$2:$AJ$301,MATCH(47,'Sign-ups'!$AO$2:$AO$301,0)),"")</f>
        <v/>
      </c>
      <c r="I52" s="26">
        <f>IFERROR(INDEX('Sign-ups'!$AN$2:$AN$301,MATCH(47,'Sign-ups'!$AO$2:$AO$301,0)),"")</f>
        <v/>
      </c>
      <c r="J52" s="26">
        <f>IFERROR(INDEX('Sign-ups'!$AA$2:$AA$301,MATCH(47,'Sign-ups'!$AO$2:$AO$301,0))&amp;"","")</f>
        <v/>
      </c>
      <c r="K52" s="27">
        <f>IFERROR(INDEX('Sign-ups'!$AB$2:$AB$301,MATCH(47,'Sign-ups'!$AO$2:$AO$301,0))&amp;"","")</f>
        <v/>
      </c>
    </row>
    <row r="53">
      <c r="A53" s="26">
        <f>IF(ISNUMBER(MATCH(48,'Sign-ups'!$AO$2:$AO$301,0)),48,"")</f>
        <v/>
      </c>
      <c r="B53" s="27">
        <f>IFERROR(INDEX('Sign-ups'!$AE$2:$AE$301,MATCH(48,'Sign-ups'!$AO$2:$AO$301,0)),"")</f>
        <v/>
      </c>
      <c r="C53" s="27">
        <f>IFERROR(INDEX('Sign-ups'!$AF$2:$AF$301,MATCH(48,'Sign-ups'!$AO$2:$AO$301,0)),"")</f>
        <v/>
      </c>
      <c r="D53" s="27">
        <f>IFERROR(INDEX('Sign-ups'!$AG$2:$AG$301,MATCH(48,'Sign-ups'!$AO$2:$AO$301,0)),"")</f>
        <v/>
      </c>
      <c r="E53" s="27">
        <f>IFERROR(INDEX('Sign-ups'!$AH$2:$AH$301,MATCH(48,'Sign-ups'!$AO$2:$AO$301,0)),"")</f>
        <v/>
      </c>
      <c r="F53" s="27">
        <f>IFERROR(INDEX('Sign-ups'!$AI$2:$AI$301,MATCH(48,'Sign-ups'!$AO$2:$AO$301,0)),"")</f>
        <v/>
      </c>
      <c r="G53" s="27">
        <f>IFERROR(INDEX('Sign-ups'!$AK$2:$AK$301,MATCH(48,'Sign-ups'!$AO$2:$AO$301,0)),"")</f>
        <v/>
      </c>
      <c r="H53" s="26">
        <f>IFERROR(INDEX('Sign-ups'!$AJ$2:$AJ$301,MATCH(48,'Sign-ups'!$AO$2:$AO$301,0)),"")</f>
        <v/>
      </c>
      <c r="I53" s="26">
        <f>IFERROR(INDEX('Sign-ups'!$AN$2:$AN$301,MATCH(48,'Sign-ups'!$AO$2:$AO$301,0)),"")</f>
        <v/>
      </c>
      <c r="J53" s="26">
        <f>IFERROR(INDEX('Sign-ups'!$AA$2:$AA$301,MATCH(48,'Sign-ups'!$AO$2:$AO$301,0))&amp;"","")</f>
        <v/>
      </c>
      <c r="K53" s="27">
        <f>IFERROR(INDEX('Sign-ups'!$AB$2:$AB$301,MATCH(48,'Sign-ups'!$AO$2:$AO$301,0))&amp;"","")</f>
        <v/>
      </c>
    </row>
    <row r="54">
      <c r="A54" s="26">
        <f>IF(ISNUMBER(MATCH(49,'Sign-ups'!$AO$2:$AO$301,0)),49,"")</f>
        <v/>
      </c>
      <c r="B54" s="27">
        <f>IFERROR(INDEX('Sign-ups'!$AE$2:$AE$301,MATCH(49,'Sign-ups'!$AO$2:$AO$301,0)),"")</f>
        <v/>
      </c>
      <c r="C54" s="27">
        <f>IFERROR(INDEX('Sign-ups'!$AF$2:$AF$301,MATCH(49,'Sign-ups'!$AO$2:$AO$301,0)),"")</f>
        <v/>
      </c>
      <c r="D54" s="27">
        <f>IFERROR(INDEX('Sign-ups'!$AG$2:$AG$301,MATCH(49,'Sign-ups'!$AO$2:$AO$301,0)),"")</f>
        <v/>
      </c>
      <c r="E54" s="27">
        <f>IFERROR(INDEX('Sign-ups'!$AH$2:$AH$301,MATCH(49,'Sign-ups'!$AO$2:$AO$301,0)),"")</f>
        <v/>
      </c>
      <c r="F54" s="27">
        <f>IFERROR(INDEX('Sign-ups'!$AI$2:$AI$301,MATCH(49,'Sign-ups'!$AO$2:$AO$301,0)),"")</f>
        <v/>
      </c>
      <c r="G54" s="27">
        <f>IFERROR(INDEX('Sign-ups'!$AK$2:$AK$301,MATCH(49,'Sign-ups'!$AO$2:$AO$301,0)),"")</f>
        <v/>
      </c>
      <c r="H54" s="26">
        <f>IFERROR(INDEX('Sign-ups'!$AJ$2:$AJ$301,MATCH(49,'Sign-ups'!$AO$2:$AO$301,0)),"")</f>
        <v/>
      </c>
      <c r="I54" s="26">
        <f>IFERROR(INDEX('Sign-ups'!$AN$2:$AN$301,MATCH(49,'Sign-ups'!$AO$2:$AO$301,0)),"")</f>
        <v/>
      </c>
      <c r="J54" s="26">
        <f>IFERROR(INDEX('Sign-ups'!$AA$2:$AA$301,MATCH(49,'Sign-ups'!$AO$2:$AO$301,0))&amp;"","")</f>
        <v/>
      </c>
      <c r="K54" s="27">
        <f>IFERROR(INDEX('Sign-ups'!$AB$2:$AB$301,MATCH(49,'Sign-ups'!$AO$2:$AO$301,0))&amp;"","")</f>
        <v/>
      </c>
    </row>
    <row r="55">
      <c r="A55" s="26">
        <f>IF(ISNUMBER(MATCH(50,'Sign-ups'!$AO$2:$AO$301,0)),50,"")</f>
        <v/>
      </c>
      <c r="B55" s="27">
        <f>IFERROR(INDEX('Sign-ups'!$AE$2:$AE$301,MATCH(50,'Sign-ups'!$AO$2:$AO$301,0)),"")</f>
        <v/>
      </c>
      <c r="C55" s="27">
        <f>IFERROR(INDEX('Sign-ups'!$AF$2:$AF$301,MATCH(50,'Sign-ups'!$AO$2:$AO$301,0)),"")</f>
        <v/>
      </c>
      <c r="D55" s="27">
        <f>IFERROR(INDEX('Sign-ups'!$AG$2:$AG$301,MATCH(50,'Sign-ups'!$AO$2:$AO$301,0)),"")</f>
        <v/>
      </c>
      <c r="E55" s="27">
        <f>IFERROR(INDEX('Sign-ups'!$AH$2:$AH$301,MATCH(50,'Sign-ups'!$AO$2:$AO$301,0)),"")</f>
        <v/>
      </c>
      <c r="F55" s="27">
        <f>IFERROR(INDEX('Sign-ups'!$AI$2:$AI$301,MATCH(50,'Sign-ups'!$AO$2:$AO$301,0)),"")</f>
        <v/>
      </c>
      <c r="G55" s="27">
        <f>IFERROR(INDEX('Sign-ups'!$AK$2:$AK$301,MATCH(50,'Sign-ups'!$AO$2:$AO$301,0)),"")</f>
        <v/>
      </c>
      <c r="H55" s="26">
        <f>IFERROR(INDEX('Sign-ups'!$AJ$2:$AJ$301,MATCH(50,'Sign-ups'!$AO$2:$AO$301,0)),"")</f>
        <v/>
      </c>
      <c r="I55" s="26">
        <f>IFERROR(INDEX('Sign-ups'!$AN$2:$AN$301,MATCH(50,'Sign-ups'!$AO$2:$AO$301,0)),"")</f>
        <v/>
      </c>
      <c r="J55" s="26">
        <f>IFERROR(INDEX('Sign-ups'!$AA$2:$AA$301,MATCH(50,'Sign-ups'!$AO$2:$AO$301,0))&amp;"","")</f>
        <v/>
      </c>
      <c r="K55" s="27">
        <f>IFERROR(INDEX('Sign-ups'!$AB$2:$AB$301,MATCH(50,'Sign-ups'!$AO$2:$AO$301,0))&amp;"","")</f>
        <v/>
      </c>
    </row>
    <row r="56">
      <c r="A56" s="26">
        <f>IF(ISNUMBER(MATCH(51,'Sign-ups'!$AO$2:$AO$301,0)),51,"")</f>
        <v/>
      </c>
      <c r="B56" s="27">
        <f>IFERROR(INDEX('Sign-ups'!$AE$2:$AE$301,MATCH(51,'Sign-ups'!$AO$2:$AO$301,0)),"")</f>
        <v/>
      </c>
      <c r="C56" s="27">
        <f>IFERROR(INDEX('Sign-ups'!$AF$2:$AF$301,MATCH(51,'Sign-ups'!$AO$2:$AO$301,0)),"")</f>
        <v/>
      </c>
      <c r="D56" s="27">
        <f>IFERROR(INDEX('Sign-ups'!$AG$2:$AG$301,MATCH(51,'Sign-ups'!$AO$2:$AO$301,0)),"")</f>
        <v/>
      </c>
      <c r="E56" s="27">
        <f>IFERROR(INDEX('Sign-ups'!$AH$2:$AH$301,MATCH(51,'Sign-ups'!$AO$2:$AO$301,0)),"")</f>
        <v/>
      </c>
      <c r="F56" s="27">
        <f>IFERROR(INDEX('Sign-ups'!$AI$2:$AI$301,MATCH(51,'Sign-ups'!$AO$2:$AO$301,0)),"")</f>
        <v/>
      </c>
      <c r="G56" s="27">
        <f>IFERROR(INDEX('Sign-ups'!$AK$2:$AK$301,MATCH(51,'Sign-ups'!$AO$2:$AO$301,0)),"")</f>
        <v/>
      </c>
      <c r="H56" s="26">
        <f>IFERROR(INDEX('Sign-ups'!$AJ$2:$AJ$301,MATCH(51,'Sign-ups'!$AO$2:$AO$301,0)),"")</f>
        <v/>
      </c>
      <c r="I56" s="26">
        <f>IFERROR(INDEX('Sign-ups'!$AN$2:$AN$301,MATCH(51,'Sign-ups'!$AO$2:$AO$301,0)),"")</f>
        <v/>
      </c>
      <c r="J56" s="26">
        <f>IFERROR(INDEX('Sign-ups'!$AA$2:$AA$301,MATCH(51,'Sign-ups'!$AO$2:$AO$301,0))&amp;"","")</f>
        <v/>
      </c>
      <c r="K56" s="27">
        <f>IFERROR(INDEX('Sign-ups'!$AB$2:$AB$301,MATCH(51,'Sign-ups'!$AO$2:$AO$301,0))&amp;"","")</f>
        <v/>
      </c>
    </row>
    <row r="57">
      <c r="A57" s="26">
        <f>IF(ISNUMBER(MATCH(52,'Sign-ups'!$AO$2:$AO$301,0)),52,"")</f>
        <v/>
      </c>
      <c r="B57" s="27">
        <f>IFERROR(INDEX('Sign-ups'!$AE$2:$AE$301,MATCH(52,'Sign-ups'!$AO$2:$AO$301,0)),"")</f>
        <v/>
      </c>
      <c r="C57" s="27">
        <f>IFERROR(INDEX('Sign-ups'!$AF$2:$AF$301,MATCH(52,'Sign-ups'!$AO$2:$AO$301,0)),"")</f>
        <v/>
      </c>
      <c r="D57" s="27">
        <f>IFERROR(INDEX('Sign-ups'!$AG$2:$AG$301,MATCH(52,'Sign-ups'!$AO$2:$AO$301,0)),"")</f>
        <v/>
      </c>
      <c r="E57" s="27">
        <f>IFERROR(INDEX('Sign-ups'!$AH$2:$AH$301,MATCH(52,'Sign-ups'!$AO$2:$AO$301,0)),"")</f>
        <v/>
      </c>
      <c r="F57" s="27">
        <f>IFERROR(INDEX('Sign-ups'!$AI$2:$AI$301,MATCH(52,'Sign-ups'!$AO$2:$AO$301,0)),"")</f>
        <v/>
      </c>
      <c r="G57" s="27">
        <f>IFERROR(INDEX('Sign-ups'!$AK$2:$AK$301,MATCH(52,'Sign-ups'!$AO$2:$AO$301,0)),"")</f>
        <v/>
      </c>
      <c r="H57" s="26">
        <f>IFERROR(INDEX('Sign-ups'!$AJ$2:$AJ$301,MATCH(52,'Sign-ups'!$AO$2:$AO$301,0)),"")</f>
        <v/>
      </c>
      <c r="I57" s="26">
        <f>IFERROR(INDEX('Sign-ups'!$AN$2:$AN$301,MATCH(52,'Sign-ups'!$AO$2:$AO$301,0)),"")</f>
        <v/>
      </c>
      <c r="J57" s="26">
        <f>IFERROR(INDEX('Sign-ups'!$AA$2:$AA$301,MATCH(52,'Sign-ups'!$AO$2:$AO$301,0))&amp;"","")</f>
        <v/>
      </c>
      <c r="K57" s="27">
        <f>IFERROR(INDEX('Sign-ups'!$AB$2:$AB$301,MATCH(52,'Sign-ups'!$AO$2:$AO$301,0))&amp;"","")</f>
        <v/>
      </c>
    </row>
    <row r="58">
      <c r="A58" s="26">
        <f>IF(ISNUMBER(MATCH(53,'Sign-ups'!$AO$2:$AO$301,0)),53,"")</f>
        <v/>
      </c>
      <c r="B58" s="27">
        <f>IFERROR(INDEX('Sign-ups'!$AE$2:$AE$301,MATCH(53,'Sign-ups'!$AO$2:$AO$301,0)),"")</f>
        <v/>
      </c>
      <c r="C58" s="27">
        <f>IFERROR(INDEX('Sign-ups'!$AF$2:$AF$301,MATCH(53,'Sign-ups'!$AO$2:$AO$301,0)),"")</f>
        <v/>
      </c>
      <c r="D58" s="27">
        <f>IFERROR(INDEX('Sign-ups'!$AG$2:$AG$301,MATCH(53,'Sign-ups'!$AO$2:$AO$301,0)),"")</f>
        <v/>
      </c>
      <c r="E58" s="27">
        <f>IFERROR(INDEX('Sign-ups'!$AH$2:$AH$301,MATCH(53,'Sign-ups'!$AO$2:$AO$301,0)),"")</f>
        <v/>
      </c>
      <c r="F58" s="27">
        <f>IFERROR(INDEX('Sign-ups'!$AI$2:$AI$301,MATCH(53,'Sign-ups'!$AO$2:$AO$301,0)),"")</f>
        <v/>
      </c>
      <c r="G58" s="27">
        <f>IFERROR(INDEX('Sign-ups'!$AK$2:$AK$301,MATCH(53,'Sign-ups'!$AO$2:$AO$301,0)),"")</f>
        <v/>
      </c>
      <c r="H58" s="26">
        <f>IFERROR(INDEX('Sign-ups'!$AJ$2:$AJ$301,MATCH(53,'Sign-ups'!$AO$2:$AO$301,0)),"")</f>
        <v/>
      </c>
      <c r="I58" s="26">
        <f>IFERROR(INDEX('Sign-ups'!$AN$2:$AN$301,MATCH(53,'Sign-ups'!$AO$2:$AO$301,0)),"")</f>
        <v/>
      </c>
      <c r="J58" s="26">
        <f>IFERROR(INDEX('Sign-ups'!$AA$2:$AA$301,MATCH(53,'Sign-ups'!$AO$2:$AO$301,0))&amp;"","")</f>
        <v/>
      </c>
      <c r="K58" s="27">
        <f>IFERROR(INDEX('Sign-ups'!$AB$2:$AB$301,MATCH(53,'Sign-ups'!$AO$2:$AO$301,0))&amp;"","")</f>
        <v/>
      </c>
    </row>
    <row r="59">
      <c r="A59" s="26">
        <f>IF(ISNUMBER(MATCH(54,'Sign-ups'!$AO$2:$AO$301,0)),54,"")</f>
        <v/>
      </c>
      <c r="B59" s="27">
        <f>IFERROR(INDEX('Sign-ups'!$AE$2:$AE$301,MATCH(54,'Sign-ups'!$AO$2:$AO$301,0)),"")</f>
        <v/>
      </c>
      <c r="C59" s="27">
        <f>IFERROR(INDEX('Sign-ups'!$AF$2:$AF$301,MATCH(54,'Sign-ups'!$AO$2:$AO$301,0)),"")</f>
        <v/>
      </c>
      <c r="D59" s="27">
        <f>IFERROR(INDEX('Sign-ups'!$AG$2:$AG$301,MATCH(54,'Sign-ups'!$AO$2:$AO$301,0)),"")</f>
        <v/>
      </c>
      <c r="E59" s="27">
        <f>IFERROR(INDEX('Sign-ups'!$AH$2:$AH$301,MATCH(54,'Sign-ups'!$AO$2:$AO$301,0)),"")</f>
        <v/>
      </c>
      <c r="F59" s="27">
        <f>IFERROR(INDEX('Sign-ups'!$AI$2:$AI$301,MATCH(54,'Sign-ups'!$AO$2:$AO$301,0)),"")</f>
        <v/>
      </c>
      <c r="G59" s="27">
        <f>IFERROR(INDEX('Sign-ups'!$AK$2:$AK$301,MATCH(54,'Sign-ups'!$AO$2:$AO$301,0)),"")</f>
        <v/>
      </c>
      <c r="H59" s="26">
        <f>IFERROR(INDEX('Sign-ups'!$AJ$2:$AJ$301,MATCH(54,'Sign-ups'!$AO$2:$AO$301,0)),"")</f>
        <v/>
      </c>
      <c r="I59" s="26">
        <f>IFERROR(INDEX('Sign-ups'!$AN$2:$AN$301,MATCH(54,'Sign-ups'!$AO$2:$AO$301,0)),"")</f>
        <v/>
      </c>
      <c r="J59" s="26">
        <f>IFERROR(INDEX('Sign-ups'!$AA$2:$AA$301,MATCH(54,'Sign-ups'!$AO$2:$AO$301,0))&amp;"","")</f>
        <v/>
      </c>
      <c r="K59" s="27">
        <f>IFERROR(INDEX('Sign-ups'!$AB$2:$AB$301,MATCH(54,'Sign-ups'!$AO$2:$AO$301,0))&amp;"","")</f>
        <v/>
      </c>
    </row>
    <row r="60">
      <c r="A60" s="26">
        <f>IF(ISNUMBER(MATCH(55,'Sign-ups'!$AO$2:$AO$301,0)),55,"")</f>
        <v/>
      </c>
      <c r="B60" s="27">
        <f>IFERROR(INDEX('Sign-ups'!$AE$2:$AE$301,MATCH(55,'Sign-ups'!$AO$2:$AO$301,0)),"")</f>
        <v/>
      </c>
      <c r="C60" s="27">
        <f>IFERROR(INDEX('Sign-ups'!$AF$2:$AF$301,MATCH(55,'Sign-ups'!$AO$2:$AO$301,0)),"")</f>
        <v/>
      </c>
      <c r="D60" s="27">
        <f>IFERROR(INDEX('Sign-ups'!$AG$2:$AG$301,MATCH(55,'Sign-ups'!$AO$2:$AO$301,0)),"")</f>
        <v/>
      </c>
      <c r="E60" s="27">
        <f>IFERROR(INDEX('Sign-ups'!$AH$2:$AH$301,MATCH(55,'Sign-ups'!$AO$2:$AO$301,0)),"")</f>
        <v/>
      </c>
      <c r="F60" s="27">
        <f>IFERROR(INDEX('Sign-ups'!$AI$2:$AI$301,MATCH(55,'Sign-ups'!$AO$2:$AO$301,0)),"")</f>
        <v/>
      </c>
      <c r="G60" s="27">
        <f>IFERROR(INDEX('Sign-ups'!$AK$2:$AK$301,MATCH(55,'Sign-ups'!$AO$2:$AO$301,0)),"")</f>
        <v/>
      </c>
      <c r="H60" s="26">
        <f>IFERROR(INDEX('Sign-ups'!$AJ$2:$AJ$301,MATCH(55,'Sign-ups'!$AO$2:$AO$301,0)),"")</f>
        <v/>
      </c>
      <c r="I60" s="26">
        <f>IFERROR(INDEX('Sign-ups'!$AN$2:$AN$301,MATCH(55,'Sign-ups'!$AO$2:$AO$301,0)),"")</f>
        <v/>
      </c>
      <c r="J60" s="26">
        <f>IFERROR(INDEX('Sign-ups'!$AA$2:$AA$301,MATCH(55,'Sign-ups'!$AO$2:$AO$301,0))&amp;"","")</f>
        <v/>
      </c>
      <c r="K60" s="27">
        <f>IFERROR(INDEX('Sign-ups'!$AB$2:$AB$301,MATCH(55,'Sign-ups'!$AO$2:$AO$301,0))&amp;"","")</f>
        <v/>
      </c>
    </row>
    <row r="61">
      <c r="A61" s="26">
        <f>IF(ISNUMBER(MATCH(56,'Sign-ups'!$AO$2:$AO$301,0)),56,"")</f>
        <v/>
      </c>
      <c r="B61" s="27">
        <f>IFERROR(INDEX('Sign-ups'!$AE$2:$AE$301,MATCH(56,'Sign-ups'!$AO$2:$AO$301,0)),"")</f>
        <v/>
      </c>
      <c r="C61" s="27">
        <f>IFERROR(INDEX('Sign-ups'!$AF$2:$AF$301,MATCH(56,'Sign-ups'!$AO$2:$AO$301,0)),"")</f>
        <v/>
      </c>
      <c r="D61" s="27">
        <f>IFERROR(INDEX('Sign-ups'!$AG$2:$AG$301,MATCH(56,'Sign-ups'!$AO$2:$AO$301,0)),"")</f>
        <v/>
      </c>
      <c r="E61" s="27">
        <f>IFERROR(INDEX('Sign-ups'!$AH$2:$AH$301,MATCH(56,'Sign-ups'!$AO$2:$AO$301,0)),"")</f>
        <v/>
      </c>
      <c r="F61" s="27">
        <f>IFERROR(INDEX('Sign-ups'!$AI$2:$AI$301,MATCH(56,'Sign-ups'!$AO$2:$AO$301,0)),"")</f>
        <v/>
      </c>
      <c r="G61" s="27">
        <f>IFERROR(INDEX('Sign-ups'!$AK$2:$AK$301,MATCH(56,'Sign-ups'!$AO$2:$AO$301,0)),"")</f>
        <v/>
      </c>
      <c r="H61" s="26">
        <f>IFERROR(INDEX('Sign-ups'!$AJ$2:$AJ$301,MATCH(56,'Sign-ups'!$AO$2:$AO$301,0)),"")</f>
        <v/>
      </c>
      <c r="I61" s="26">
        <f>IFERROR(INDEX('Sign-ups'!$AN$2:$AN$301,MATCH(56,'Sign-ups'!$AO$2:$AO$301,0)),"")</f>
        <v/>
      </c>
      <c r="J61" s="26">
        <f>IFERROR(INDEX('Sign-ups'!$AA$2:$AA$301,MATCH(56,'Sign-ups'!$AO$2:$AO$301,0))&amp;"","")</f>
        <v/>
      </c>
      <c r="K61" s="27">
        <f>IFERROR(INDEX('Sign-ups'!$AB$2:$AB$301,MATCH(56,'Sign-ups'!$AO$2:$AO$301,0))&amp;"","")</f>
        <v/>
      </c>
    </row>
    <row r="62">
      <c r="A62" s="26">
        <f>IF(ISNUMBER(MATCH(57,'Sign-ups'!$AO$2:$AO$301,0)),57,"")</f>
        <v/>
      </c>
      <c r="B62" s="27">
        <f>IFERROR(INDEX('Sign-ups'!$AE$2:$AE$301,MATCH(57,'Sign-ups'!$AO$2:$AO$301,0)),"")</f>
        <v/>
      </c>
      <c r="C62" s="27">
        <f>IFERROR(INDEX('Sign-ups'!$AF$2:$AF$301,MATCH(57,'Sign-ups'!$AO$2:$AO$301,0)),"")</f>
        <v/>
      </c>
      <c r="D62" s="27">
        <f>IFERROR(INDEX('Sign-ups'!$AG$2:$AG$301,MATCH(57,'Sign-ups'!$AO$2:$AO$301,0)),"")</f>
        <v/>
      </c>
      <c r="E62" s="27">
        <f>IFERROR(INDEX('Sign-ups'!$AH$2:$AH$301,MATCH(57,'Sign-ups'!$AO$2:$AO$301,0)),"")</f>
        <v/>
      </c>
      <c r="F62" s="27">
        <f>IFERROR(INDEX('Sign-ups'!$AI$2:$AI$301,MATCH(57,'Sign-ups'!$AO$2:$AO$301,0)),"")</f>
        <v/>
      </c>
      <c r="G62" s="27">
        <f>IFERROR(INDEX('Sign-ups'!$AK$2:$AK$301,MATCH(57,'Sign-ups'!$AO$2:$AO$301,0)),"")</f>
        <v/>
      </c>
      <c r="H62" s="26">
        <f>IFERROR(INDEX('Sign-ups'!$AJ$2:$AJ$301,MATCH(57,'Sign-ups'!$AO$2:$AO$301,0)),"")</f>
        <v/>
      </c>
      <c r="I62" s="26">
        <f>IFERROR(INDEX('Sign-ups'!$AN$2:$AN$301,MATCH(57,'Sign-ups'!$AO$2:$AO$301,0)),"")</f>
        <v/>
      </c>
      <c r="J62" s="26">
        <f>IFERROR(INDEX('Sign-ups'!$AA$2:$AA$301,MATCH(57,'Sign-ups'!$AO$2:$AO$301,0))&amp;"","")</f>
        <v/>
      </c>
      <c r="K62" s="27">
        <f>IFERROR(INDEX('Sign-ups'!$AB$2:$AB$301,MATCH(57,'Sign-ups'!$AO$2:$AO$301,0))&amp;"","")</f>
        <v/>
      </c>
    </row>
    <row r="63">
      <c r="A63" s="26">
        <f>IF(ISNUMBER(MATCH(58,'Sign-ups'!$AO$2:$AO$301,0)),58,"")</f>
        <v/>
      </c>
      <c r="B63" s="27">
        <f>IFERROR(INDEX('Sign-ups'!$AE$2:$AE$301,MATCH(58,'Sign-ups'!$AO$2:$AO$301,0)),"")</f>
        <v/>
      </c>
      <c r="C63" s="27">
        <f>IFERROR(INDEX('Sign-ups'!$AF$2:$AF$301,MATCH(58,'Sign-ups'!$AO$2:$AO$301,0)),"")</f>
        <v/>
      </c>
      <c r="D63" s="27">
        <f>IFERROR(INDEX('Sign-ups'!$AG$2:$AG$301,MATCH(58,'Sign-ups'!$AO$2:$AO$301,0)),"")</f>
        <v/>
      </c>
      <c r="E63" s="27">
        <f>IFERROR(INDEX('Sign-ups'!$AH$2:$AH$301,MATCH(58,'Sign-ups'!$AO$2:$AO$301,0)),"")</f>
        <v/>
      </c>
      <c r="F63" s="27">
        <f>IFERROR(INDEX('Sign-ups'!$AI$2:$AI$301,MATCH(58,'Sign-ups'!$AO$2:$AO$301,0)),"")</f>
        <v/>
      </c>
      <c r="G63" s="27">
        <f>IFERROR(INDEX('Sign-ups'!$AK$2:$AK$301,MATCH(58,'Sign-ups'!$AO$2:$AO$301,0)),"")</f>
        <v/>
      </c>
      <c r="H63" s="26">
        <f>IFERROR(INDEX('Sign-ups'!$AJ$2:$AJ$301,MATCH(58,'Sign-ups'!$AO$2:$AO$301,0)),"")</f>
        <v/>
      </c>
      <c r="I63" s="26">
        <f>IFERROR(INDEX('Sign-ups'!$AN$2:$AN$301,MATCH(58,'Sign-ups'!$AO$2:$AO$301,0)),"")</f>
        <v/>
      </c>
      <c r="J63" s="26">
        <f>IFERROR(INDEX('Sign-ups'!$AA$2:$AA$301,MATCH(58,'Sign-ups'!$AO$2:$AO$301,0))&amp;"","")</f>
        <v/>
      </c>
      <c r="K63" s="27">
        <f>IFERROR(INDEX('Sign-ups'!$AB$2:$AB$301,MATCH(58,'Sign-ups'!$AO$2:$AO$301,0))&amp;"","")</f>
        <v/>
      </c>
    </row>
    <row r="64">
      <c r="A64" s="26">
        <f>IF(ISNUMBER(MATCH(59,'Sign-ups'!$AO$2:$AO$301,0)),59,"")</f>
        <v/>
      </c>
      <c r="B64" s="27">
        <f>IFERROR(INDEX('Sign-ups'!$AE$2:$AE$301,MATCH(59,'Sign-ups'!$AO$2:$AO$301,0)),"")</f>
        <v/>
      </c>
      <c r="C64" s="27">
        <f>IFERROR(INDEX('Sign-ups'!$AF$2:$AF$301,MATCH(59,'Sign-ups'!$AO$2:$AO$301,0)),"")</f>
        <v/>
      </c>
      <c r="D64" s="27">
        <f>IFERROR(INDEX('Sign-ups'!$AG$2:$AG$301,MATCH(59,'Sign-ups'!$AO$2:$AO$301,0)),"")</f>
        <v/>
      </c>
      <c r="E64" s="27">
        <f>IFERROR(INDEX('Sign-ups'!$AH$2:$AH$301,MATCH(59,'Sign-ups'!$AO$2:$AO$301,0)),"")</f>
        <v/>
      </c>
      <c r="F64" s="27">
        <f>IFERROR(INDEX('Sign-ups'!$AI$2:$AI$301,MATCH(59,'Sign-ups'!$AO$2:$AO$301,0)),"")</f>
        <v/>
      </c>
      <c r="G64" s="27">
        <f>IFERROR(INDEX('Sign-ups'!$AK$2:$AK$301,MATCH(59,'Sign-ups'!$AO$2:$AO$301,0)),"")</f>
        <v/>
      </c>
      <c r="H64" s="26">
        <f>IFERROR(INDEX('Sign-ups'!$AJ$2:$AJ$301,MATCH(59,'Sign-ups'!$AO$2:$AO$301,0)),"")</f>
        <v/>
      </c>
      <c r="I64" s="26">
        <f>IFERROR(INDEX('Sign-ups'!$AN$2:$AN$301,MATCH(59,'Sign-ups'!$AO$2:$AO$301,0)),"")</f>
        <v/>
      </c>
      <c r="J64" s="26">
        <f>IFERROR(INDEX('Sign-ups'!$AA$2:$AA$301,MATCH(59,'Sign-ups'!$AO$2:$AO$301,0))&amp;"","")</f>
        <v/>
      </c>
      <c r="K64" s="27">
        <f>IFERROR(INDEX('Sign-ups'!$AB$2:$AB$301,MATCH(59,'Sign-ups'!$AO$2:$AO$301,0))&amp;"","")</f>
        <v/>
      </c>
    </row>
    <row r="65">
      <c r="A65" s="26">
        <f>IF(ISNUMBER(MATCH(60,'Sign-ups'!$AO$2:$AO$301,0)),60,"")</f>
        <v/>
      </c>
      <c r="B65" s="27">
        <f>IFERROR(INDEX('Sign-ups'!$AE$2:$AE$301,MATCH(60,'Sign-ups'!$AO$2:$AO$301,0)),"")</f>
        <v/>
      </c>
      <c r="C65" s="27">
        <f>IFERROR(INDEX('Sign-ups'!$AF$2:$AF$301,MATCH(60,'Sign-ups'!$AO$2:$AO$301,0)),"")</f>
        <v/>
      </c>
      <c r="D65" s="27">
        <f>IFERROR(INDEX('Sign-ups'!$AG$2:$AG$301,MATCH(60,'Sign-ups'!$AO$2:$AO$301,0)),"")</f>
        <v/>
      </c>
      <c r="E65" s="27">
        <f>IFERROR(INDEX('Sign-ups'!$AH$2:$AH$301,MATCH(60,'Sign-ups'!$AO$2:$AO$301,0)),"")</f>
        <v/>
      </c>
      <c r="F65" s="27">
        <f>IFERROR(INDEX('Sign-ups'!$AI$2:$AI$301,MATCH(60,'Sign-ups'!$AO$2:$AO$301,0)),"")</f>
        <v/>
      </c>
      <c r="G65" s="27">
        <f>IFERROR(INDEX('Sign-ups'!$AK$2:$AK$301,MATCH(60,'Sign-ups'!$AO$2:$AO$301,0)),"")</f>
        <v/>
      </c>
      <c r="H65" s="26">
        <f>IFERROR(INDEX('Sign-ups'!$AJ$2:$AJ$301,MATCH(60,'Sign-ups'!$AO$2:$AO$301,0)),"")</f>
        <v/>
      </c>
      <c r="I65" s="26">
        <f>IFERROR(INDEX('Sign-ups'!$AN$2:$AN$301,MATCH(60,'Sign-ups'!$AO$2:$AO$301,0)),"")</f>
        <v/>
      </c>
      <c r="J65" s="26">
        <f>IFERROR(INDEX('Sign-ups'!$AA$2:$AA$301,MATCH(60,'Sign-ups'!$AO$2:$AO$301,0))&amp;"","")</f>
        <v/>
      </c>
      <c r="K65" s="27">
        <f>IFERROR(INDEX('Sign-ups'!$AB$2:$AB$301,MATCH(60,'Sign-ups'!$AO$2:$AO$301,0))&amp;"","")</f>
        <v/>
      </c>
    </row>
    <row r="66">
      <c r="A66" s="26">
        <f>IF(ISNUMBER(MATCH(61,'Sign-ups'!$AO$2:$AO$301,0)),61,"")</f>
        <v/>
      </c>
      <c r="B66" s="27">
        <f>IFERROR(INDEX('Sign-ups'!$AE$2:$AE$301,MATCH(61,'Sign-ups'!$AO$2:$AO$301,0)),"")</f>
        <v/>
      </c>
      <c r="C66" s="27">
        <f>IFERROR(INDEX('Sign-ups'!$AF$2:$AF$301,MATCH(61,'Sign-ups'!$AO$2:$AO$301,0)),"")</f>
        <v/>
      </c>
      <c r="D66" s="27">
        <f>IFERROR(INDEX('Sign-ups'!$AG$2:$AG$301,MATCH(61,'Sign-ups'!$AO$2:$AO$301,0)),"")</f>
        <v/>
      </c>
      <c r="E66" s="27">
        <f>IFERROR(INDEX('Sign-ups'!$AH$2:$AH$301,MATCH(61,'Sign-ups'!$AO$2:$AO$301,0)),"")</f>
        <v/>
      </c>
      <c r="F66" s="27">
        <f>IFERROR(INDEX('Sign-ups'!$AI$2:$AI$301,MATCH(61,'Sign-ups'!$AO$2:$AO$301,0)),"")</f>
        <v/>
      </c>
      <c r="G66" s="27">
        <f>IFERROR(INDEX('Sign-ups'!$AK$2:$AK$301,MATCH(61,'Sign-ups'!$AO$2:$AO$301,0)),"")</f>
        <v/>
      </c>
      <c r="H66" s="26">
        <f>IFERROR(INDEX('Sign-ups'!$AJ$2:$AJ$301,MATCH(61,'Sign-ups'!$AO$2:$AO$301,0)),"")</f>
        <v/>
      </c>
      <c r="I66" s="26">
        <f>IFERROR(INDEX('Sign-ups'!$AN$2:$AN$301,MATCH(61,'Sign-ups'!$AO$2:$AO$301,0)),"")</f>
        <v/>
      </c>
      <c r="J66" s="26">
        <f>IFERROR(INDEX('Sign-ups'!$AA$2:$AA$301,MATCH(61,'Sign-ups'!$AO$2:$AO$301,0))&amp;"","")</f>
        <v/>
      </c>
      <c r="K66" s="27">
        <f>IFERROR(INDEX('Sign-ups'!$AB$2:$AB$301,MATCH(61,'Sign-ups'!$AO$2:$AO$301,0))&amp;"","")</f>
        <v/>
      </c>
    </row>
    <row r="67">
      <c r="A67" s="26">
        <f>IF(ISNUMBER(MATCH(62,'Sign-ups'!$AO$2:$AO$301,0)),62,"")</f>
        <v/>
      </c>
      <c r="B67" s="27">
        <f>IFERROR(INDEX('Sign-ups'!$AE$2:$AE$301,MATCH(62,'Sign-ups'!$AO$2:$AO$301,0)),"")</f>
        <v/>
      </c>
      <c r="C67" s="27">
        <f>IFERROR(INDEX('Sign-ups'!$AF$2:$AF$301,MATCH(62,'Sign-ups'!$AO$2:$AO$301,0)),"")</f>
        <v/>
      </c>
      <c r="D67" s="27">
        <f>IFERROR(INDEX('Sign-ups'!$AG$2:$AG$301,MATCH(62,'Sign-ups'!$AO$2:$AO$301,0)),"")</f>
        <v/>
      </c>
      <c r="E67" s="27">
        <f>IFERROR(INDEX('Sign-ups'!$AH$2:$AH$301,MATCH(62,'Sign-ups'!$AO$2:$AO$301,0)),"")</f>
        <v/>
      </c>
      <c r="F67" s="27">
        <f>IFERROR(INDEX('Sign-ups'!$AI$2:$AI$301,MATCH(62,'Sign-ups'!$AO$2:$AO$301,0)),"")</f>
        <v/>
      </c>
      <c r="G67" s="27">
        <f>IFERROR(INDEX('Sign-ups'!$AK$2:$AK$301,MATCH(62,'Sign-ups'!$AO$2:$AO$301,0)),"")</f>
        <v/>
      </c>
      <c r="H67" s="26">
        <f>IFERROR(INDEX('Sign-ups'!$AJ$2:$AJ$301,MATCH(62,'Sign-ups'!$AO$2:$AO$301,0)),"")</f>
        <v/>
      </c>
      <c r="I67" s="26">
        <f>IFERROR(INDEX('Sign-ups'!$AN$2:$AN$301,MATCH(62,'Sign-ups'!$AO$2:$AO$301,0)),"")</f>
        <v/>
      </c>
      <c r="J67" s="26">
        <f>IFERROR(INDEX('Sign-ups'!$AA$2:$AA$301,MATCH(62,'Sign-ups'!$AO$2:$AO$301,0))&amp;"","")</f>
        <v/>
      </c>
      <c r="K67" s="27">
        <f>IFERROR(INDEX('Sign-ups'!$AB$2:$AB$301,MATCH(62,'Sign-ups'!$AO$2:$AO$301,0))&amp;"","")</f>
        <v/>
      </c>
    </row>
    <row r="68">
      <c r="A68" s="26">
        <f>IF(ISNUMBER(MATCH(63,'Sign-ups'!$AO$2:$AO$301,0)),63,"")</f>
        <v/>
      </c>
      <c r="B68" s="27">
        <f>IFERROR(INDEX('Sign-ups'!$AE$2:$AE$301,MATCH(63,'Sign-ups'!$AO$2:$AO$301,0)),"")</f>
        <v/>
      </c>
      <c r="C68" s="27">
        <f>IFERROR(INDEX('Sign-ups'!$AF$2:$AF$301,MATCH(63,'Sign-ups'!$AO$2:$AO$301,0)),"")</f>
        <v/>
      </c>
      <c r="D68" s="27">
        <f>IFERROR(INDEX('Sign-ups'!$AG$2:$AG$301,MATCH(63,'Sign-ups'!$AO$2:$AO$301,0)),"")</f>
        <v/>
      </c>
      <c r="E68" s="27">
        <f>IFERROR(INDEX('Sign-ups'!$AH$2:$AH$301,MATCH(63,'Sign-ups'!$AO$2:$AO$301,0)),"")</f>
        <v/>
      </c>
      <c r="F68" s="27">
        <f>IFERROR(INDEX('Sign-ups'!$AI$2:$AI$301,MATCH(63,'Sign-ups'!$AO$2:$AO$301,0)),"")</f>
        <v/>
      </c>
      <c r="G68" s="27">
        <f>IFERROR(INDEX('Sign-ups'!$AK$2:$AK$301,MATCH(63,'Sign-ups'!$AO$2:$AO$301,0)),"")</f>
        <v/>
      </c>
      <c r="H68" s="26">
        <f>IFERROR(INDEX('Sign-ups'!$AJ$2:$AJ$301,MATCH(63,'Sign-ups'!$AO$2:$AO$301,0)),"")</f>
        <v/>
      </c>
      <c r="I68" s="26">
        <f>IFERROR(INDEX('Sign-ups'!$AN$2:$AN$301,MATCH(63,'Sign-ups'!$AO$2:$AO$301,0)),"")</f>
        <v/>
      </c>
      <c r="J68" s="26">
        <f>IFERROR(INDEX('Sign-ups'!$AA$2:$AA$301,MATCH(63,'Sign-ups'!$AO$2:$AO$301,0))&amp;"","")</f>
        <v/>
      </c>
      <c r="K68" s="27">
        <f>IFERROR(INDEX('Sign-ups'!$AB$2:$AB$301,MATCH(63,'Sign-ups'!$AO$2:$AO$301,0))&amp;"","")</f>
        <v/>
      </c>
    </row>
    <row r="69">
      <c r="A69" s="26">
        <f>IF(ISNUMBER(MATCH(64,'Sign-ups'!$AO$2:$AO$301,0)),64,"")</f>
        <v/>
      </c>
      <c r="B69" s="27">
        <f>IFERROR(INDEX('Sign-ups'!$AE$2:$AE$301,MATCH(64,'Sign-ups'!$AO$2:$AO$301,0)),"")</f>
        <v/>
      </c>
      <c r="C69" s="27">
        <f>IFERROR(INDEX('Sign-ups'!$AF$2:$AF$301,MATCH(64,'Sign-ups'!$AO$2:$AO$301,0)),"")</f>
        <v/>
      </c>
      <c r="D69" s="27">
        <f>IFERROR(INDEX('Sign-ups'!$AG$2:$AG$301,MATCH(64,'Sign-ups'!$AO$2:$AO$301,0)),"")</f>
        <v/>
      </c>
      <c r="E69" s="27">
        <f>IFERROR(INDEX('Sign-ups'!$AH$2:$AH$301,MATCH(64,'Sign-ups'!$AO$2:$AO$301,0)),"")</f>
        <v/>
      </c>
      <c r="F69" s="27">
        <f>IFERROR(INDEX('Sign-ups'!$AI$2:$AI$301,MATCH(64,'Sign-ups'!$AO$2:$AO$301,0)),"")</f>
        <v/>
      </c>
      <c r="G69" s="27">
        <f>IFERROR(INDEX('Sign-ups'!$AK$2:$AK$301,MATCH(64,'Sign-ups'!$AO$2:$AO$301,0)),"")</f>
        <v/>
      </c>
      <c r="H69" s="26">
        <f>IFERROR(INDEX('Sign-ups'!$AJ$2:$AJ$301,MATCH(64,'Sign-ups'!$AO$2:$AO$301,0)),"")</f>
        <v/>
      </c>
      <c r="I69" s="26">
        <f>IFERROR(INDEX('Sign-ups'!$AN$2:$AN$301,MATCH(64,'Sign-ups'!$AO$2:$AO$301,0)),"")</f>
        <v/>
      </c>
      <c r="J69" s="26">
        <f>IFERROR(INDEX('Sign-ups'!$AA$2:$AA$301,MATCH(64,'Sign-ups'!$AO$2:$AO$301,0))&amp;"","")</f>
        <v/>
      </c>
      <c r="K69" s="27">
        <f>IFERROR(INDEX('Sign-ups'!$AB$2:$AB$301,MATCH(64,'Sign-ups'!$AO$2:$AO$301,0))&amp;"","")</f>
        <v/>
      </c>
    </row>
    <row r="70">
      <c r="A70" s="26">
        <f>IF(ISNUMBER(MATCH(65,'Sign-ups'!$AO$2:$AO$301,0)),65,"")</f>
        <v/>
      </c>
      <c r="B70" s="27">
        <f>IFERROR(INDEX('Sign-ups'!$AE$2:$AE$301,MATCH(65,'Sign-ups'!$AO$2:$AO$301,0)),"")</f>
        <v/>
      </c>
      <c r="C70" s="27">
        <f>IFERROR(INDEX('Sign-ups'!$AF$2:$AF$301,MATCH(65,'Sign-ups'!$AO$2:$AO$301,0)),"")</f>
        <v/>
      </c>
      <c r="D70" s="27">
        <f>IFERROR(INDEX('Sign-ups'!$AG$2:$AG$301,MATCH(65,'Sign-ups'!$AO$2:$AO$301,0)),"")</f>
        <v/>
      </c>
      <c r="E70" s="27">
        <f>IFERROR(INDEX('Sign-ups'!$AH$2:$AH$301,MATCH(65,'Sign-ups'!$AO$2:$AO$301,0)),"")</f>
        <v/>
      </c>
      <c r="F70" s="27">
        <f>IFERROR(INDEX('Sign-ups'!$AI$2:$AI$301,MATCH(65,'Sign-ups'!$AO$2:$AO$301,0)),"")</f>
        <v/>
      </c>
      <c r="G70" s="27">
        <f>IFERROR(INDEX('Sign-ups'!$AK$2:$AK$301,MATCH(65,'Sign-ups'!$AO$2:$AO$301,0)),"")</f>
        <v/>
      </c>
      <c r="H70" s="26">
        <f>IFERROR(INDEX('Sign-ups'!$AJ$2:$AJ$301,MATCH(65,'Sign-ups'!$AO$2:$AO$301,0)),"")</f>
        <v/>
      </c>
      <c r="I70" s="26">
        <f>IFERROR(INDEX('Sign-ups'!$AN$2:$AN$301,MATCH(65,'Sign-ups'!$AO$2:$AO$301,0)),"")</f>
        <v/>
      </c>
      <c r="J70" s="26">
        <f>IFERROR(INDEX('Sign-ups'!$AA$2:$AA$301,MATCH(65,'Sign-ups'!$AO$2:$AO$301,0))&amp;"","")</f>
        <v/>
      </c>
      <c r="K70" s="27">
        <f>IFERROR(INDEX('Sign-ups'!$AB$2:$AB$301,MATCH(65,'Sign-ups'!$AO$2:$AO$301,0))&amp;"","")</f>
        <v/>
      </c>
    </row>
    <row r="71">
      <c r="A71" s="26">
        <f>IF(ISNUMBER(MATCH(66,'Sign-ups'!$AO$2:$AO$301,0)),66,"")</f>
        <v/>
      </c>
      <c r="B71" s="27">
        <f>IFERROR(INDEX('Sign-ups'!$AE$2:$AE$301,MATCH(66,'Sign-ups'!$AO$2:$AO$301,0)),"")</f>
        <v/>
      </c>
      <c r="C71" s="27">
        <f>IFERROR(INDEX('Sign-ups'!$AF$2:$AF$301,MATCH(66,'Sign-ups'!$AO$2:$AO$301,0)),"")</f>
        <v/>
      </c>
      <c r="D71" s="27">
        <f>IFERROR(INDEX('Sign-ups'!$AG$2:$AG$301,MATCH(66,'Sign-ups'!$AO$2:$AO$301,0)),"")</f>
        <v/>
      </c>
      <c r="E71" s="27">
        <f>IFERROR(INDEX('Sign-ups'!$AH$2:$AH$301,MATCH(66,'Sign-ups'!$AO$2:$AO$301,0)),"")</f>
        <v/>
      </c>
      <c r="F71" s="27">
        <f>IFERROR(INDEX('Sign-ups'!$AI$2:$AI$301,MATCH(66,'Sign-ups'!$AO$2:$AO$301,0)),"")</f>
        <v/>
      </c>
      <c r="G71" s="27">
        <f>IFERROR(INDEX('Sign-ups'!$AK$2:$AK$301,MATCH(66,'Sign-ups'!$AO$2:$AO$301,0)),"")</f>
        <v/>
      </c>
      <c r="H71" s="26">
        <f>IFERROR(INDEX('Sign-ups'!$AJ$2:$AJ$301,MATCH(66,'Sign-ups'!$AO$2:$AO$301,0)),"")</f>
        <v/>
      </c>
      <c r="I71" s="26">
        <f>IFERROR(INDEX('Sign-ups'!$AN$2:$AN$301,MATCH(66,'Sign-ups'!$AO$2:$AO$301,0)),"")</f>
        <v/>
      </c>
      <c r="J71" s="26">
        <f>IFERROR(INDEX('Sign-ups'!$AA$2:$AA$301,MATCH(66,'Sign-ups'!$AO$2:$AO$301,0))&amp;"","")</f>
        <v/>
      </c>
      <c r="K71" s="27">
        <f>IFERROR(INDEX('Sign-ups'!$AB$2:$AB$301,MATCH(66,'Sign-ups'!$AO$2:$AO$301,0))&amp;"","")</f>
        <v/>
      </c>
    </row>
    <row r="72">
      <c r="A72" s="26">
        <f>IF(ISNUMBER(MATCH(67,'Sign-ups'!$AO$2:$AO$301,0)),67,"")</f>
        <v/>
      </c>
      <c r="B72" s="27">
        <f>IFERROR(INDEX('Sign-ups'!$AE$2:$AE$301,MATCH(67,'Sign-ups'!$AO$2:$AO$301,0)),"")</f>
        <v/>
      </c>
      <c r="C72" s="27">
        <f>IFERROR(INDEX('Sign-ups'!$AF$2:$AF$301,MATCH(67,'Sign-ups'!$AO$2:$AO$301,0)),"")</f>
        <v/>
      </c>
      <c r="D72" s="27">
        <f>IFERROR(INDEX('Sign-ups'!$AG$2:$AG$301,MATCH(67,'Sign-ups'!$AO$2:$AO$301,0)),"")</f>
        <v/>
      </c>
      <c r="E72" s="27">
        <f>IFERROR(INDEX('Sign-ups'!$AH$2:$AH$301,MATCH(67,'Sign-ups'!$AO$2:$AO$301,0)),"")</f>
        <v/>
      </c>
      <c r="F72" s="27">
        <f>IFERROR(INDEX('Sign-ups'!$AI$2:$AI$301,MATCH(67,'Sign-ups'!$AO$2:$AO$301,0)),"")</f>
        <v/>
      </c>
      <c r="G72" s="27">
        <f>IFERROR(INDEX('Sign-ups'!$AK$2:$AK$301,MATCH(67,'Sign-ups'!$AO$2:$AO$301,0)),"")</f>
        <v/>
      </c>
      <c r="H72" s="26">
        <f>IFERROR(INDEX('Sign-ups'!$AJ$2:$AJ$301,MATCH(67,'Sign-ups'!$AO$2:$AO$301,0)),"")</f>
        <v/>
      </c>
      <c r="I72" s="26">
        <f>IFERROR(INDEX('Sign-ups'!$AN$2:$AN$301,MATCH(67,'Sign-ups'!$AO$2:$AO$301,0)),"")</f>
        <v/>
      </c>
      <c r="J72" s="26">
        <f>IFERROR(INDEX('Sign-ups'!$AA$2:$AA$301,MATCH(67,'Sign-ups'!$AO$2:$AO$301,0))&amp;"","")</f>
        <v/>
      </c>
      <c r="K72" s="27">
        <f>IFERROR(INDEX('Sign-ups'!$AB$2:$AB$301,MATCH(67,'Sign-ups'!$AO$2:$AO$301,0))&amp;"","")</f>
        <v/>
      </c>
    </row>
    <row r="73">
      <c r="A73" s="26">
        <f>IF(ISNUMBER(MATCH(68,'Sign-ups'!$AO$2:$AO$301,0)),68,"")</f>
        <v/>
      </c>
      <c r="B73" s="27">
        <f>IFERROR(INDEX('Sign-ups'!$AE$2:$AE$301,MATCH(68,'Sign-ups'!$AO$2:$AO$301,0)),"")</f>
        <v/>
      </c>
      <c r="C73" s="27">
        <f>IFERROR(INDEX('Sign-ups'!$AF$2:$AF$301,MATCH(68,'Sign-ups'!$AO$2:$AO$301,0)),"")</f>
        <v/>
      </c>
      <c r="D73" s="27">
        <f>IFERROR(INDEX('Sign-ups'!$AG$2:$AG$301,MATCH(68,'Sign-ups'!$AO$2:$AO$301,0)),"")</f>
        <v/>
      </c>
      <c r="E73" s="27">
        <f>IFERROR(INDEX('Sign-ups'!$AH$2:$AH$301,MATCH(68,'Sign-ups'!$AO$2:$AO$301,0)),"")</f>
        <v/>
      </c>
      <c r="F73" s="27">
        <f>IFERROR(INDEX('Sign-ups'!$AI$2:$AI$301,MATCH(68,'Sign-ups'!$AO$2:$AO$301,0)),"")</f>
        <v/>
      </c>
      <c r="G73" s="27">
        <f>IFERROR(INDEX('Sign-ups'!$AK$2:$AK$301,MATCH(68,'Sign-ups'!$AO$2:$AO$301,0)),"")</f>
        <v/>
      </c>
      <c r="H73" s="26">
        <f>IFERROR(INDEX('Sign-ups'!$AJ$2:$AJ$301,MATCH(68,'Sign-ups'!$AO$2:$AO$301,0)),"")</f>
        <v/>
      </c>
      <c r="I73" s="26">
        <f>IFERROR(INDEX('Sign-ups'!$AN$2:$AN$301,MATCH(68,'Sign-ups'!$AO$2:$AO$301,0)),"")</f>
        <v/>
      </c>
      <c r="J73" s="26">
        <f>IFERROR(INDEX('Sign-ups'!$AA$2:$AA$301,MATCH(68,'Sign-ups'!$AO$2:$AO$301,0))&amp;"","")</f>
        <v/>
      </c>
      <c r="K73" s="27">
        <f>IFERROR(INDEX('Sign-ups'!$AB$2:$AB$301,MATCH(68,'Sign-ups'!$AO$2:$AO$301,0))&amp;"","")</f>
        <v/>
      </c>
    </row>
    <row r="74">
      <c r="A74" s="26">
        <f>IF(ISNUMBER(MATCH(69,'Sign-ups'!$AO$2:$AO$301,0)),69,"")</f>
        <v/>
      </c>
      <c r="B74" s="27">
        <f>IFERROR(INDEX('Sign-ups'!$AE$2:$AE$301,MATCH(69,'Sign-ups'!$AO$2:$AO$301,0)),"")</f>
        <v/>
      </c>
      <c r="C74" s="27">
        <f>IFERROR(INDEX('Sign-ups'!$AF$2:$AF$301,MATCH(69,'Sign-ups'!$AO$2:$AO$301,0)),"")</f>
        <v/>
      </c>
      <c r="D74" s="27">
        <f>IFERROR(INDEX('Sign-ups'!$AG$2:$AG$301,MATCH(69,'Sign-ups'!$AO$2:$AO$301,0)),"")</f>
        <v/>
      </c>
      <c r="E74" s="27">
        <f>IFERROR(INDEX('Sign-ups'!$AH$2:$AH$301,MATCH(69,'Sign-ups'!$AO$2:$AO$301,0)),"")</f>
        <v/>
      </c>
      <c r="F74" s="27">
        <f>IFERROR(INDEX('Sign-ups'!$AI$2:$AI$301,MATCH(69,'Sign-ups'!$AO$2:$AO$301,0)),"")</f>
        <v/>
      </c>
      <c r="G74" s="27">
        <f>IFERROR(INDEX('Sign-ups'!$AK$2:$AK$301,MATCH(69,'Sign-ups'!$AO$2:$AO$301,0)),"")</f>
        <v/>
      </c>
      <c r="H74" s="26">
        <f>IFERROR(INDEX('Sign-ups'!$AJ$2:$AJ$301,MATCH(69,'Sign-ups'!$AO$2:$AO$301,0)),"")</f>
        <v/>
      </c>
      <c r="I74" s="26">
        <f>IFERROR(INDEX('Sign-ups'!$AN$2:$AN$301,MATCH(69,'Sign-ups'!$AO$2:$AO$301,0)),"")</f>
        <v/>
      </c>
      <c r="J74" s="26">
        <f>IFERROR(INDEX('Sign-ups'!$AA$2:$AA$301,MATCH(69,'Sign-ups'!$AO$2:$AO$301,0))&amp;"","")</f>
        <v/>
      </c>
      <c r="K74" s="27">
        <f>IFERROR(INDEX('Sign-ups'!$AB$2:$AB$301,MATCH(69,'Sign-ups'!$AO$2:$AO$301,0))&amp;"","")</f>
        <v/>
      </c>
    </row>
    <row r="75">
      <c r="A75" s="26">
        <f>IF(ISNUMBER(MATCH(70,'Sign-ups'!$AO$2:$AO$301,0)),70,"")</f>
        <v/>
      </c>
      <c r="B75" s="27">
        <f>IFERROR(INDEX('Sign-ups'!$AE$2:$AE$301,MATCH(70,'Sign-ups'!$AO$2:$AO$301,0)),"")</f>
        <v/>
      </c>
      <c r="C75" s="27">
        <f>IFERROR(INDEX('Sign-ups'!$AF$2:$AF$301,MATCH(70,'Sign-ups'!$AO$2:$AO$301,0)),"")</f>
        <v/>
      </c>
      <c r="D75" s="27">
        <f>IFERROR(INDEX('Sign-ups'!$AG$2:$AG$301,MATCH(70,'Sign-ups'!$AO$2:$AO$301,0)),"")</f>
        <v/>
      </c>
      <c r="E75" s="27">
        <f>IFERROR(INDEX('Sign-ups'!$AH$2:$AH$301,MATCH(70,'Sign-ups'!$AO$2:$AO$301,0)),"")</f>
        <v/>
      </c>
      <c r="F75" s="27">
        <f>IFERROR(INDEX('Sign-ups'!$AI$2:$AI$301,MATCH(70,'Sign-ups'!$AO$2:$AO$301,0)),"")</f>
        <v/>
      </c>
      <c r="G75" s="27">
        <f>IFERROR(INDEX('Sign-ups'!$AK$2:$AK$301,MATCH(70,'Sign-ups'!$AO$2:$AO$301,0)),"")</f>
        <v/>
      </c>
      <c r="H75" s="26">
        <f>IFERROR(INDEX('Sign-ups'!$AJ$2:$AJ$301,MATCH(70,'Sign-ups'!$AO$2:$AO$301,0)),"")</f>
        <v/>
      </c>
      <c r="I75" s="26">
        <f>IFERROR(INDEX('Sign-ups'!$AN$2:$AN$301,MATCH(70,'Sign-ups'!$AO$2:$AO$301,0)),"")</f>
        <v/>
      </c>
      <c r="J75" s="26">
        <f>IFERROR(INDEX('Sign-ups'!$AA$2:$AA$301,MATCH(70,'Sign-ups'!$AO$2:$AO$301,0))&amp;"","")</f>
        <v/>
      </c>
      <c r="K75" s="27">
        <f>IFERROR(INDEX('Sign-ups'!$AB$2:$AB$301,MATCH(70,'Sign-ups'!$AO$2:$AO$301,0))&amp;"","")</f>
        <v/>
      </c>
    </row>
    <row r="76">
      <c r="A76" s="26">
        <f>IF(ISNUMBER(MATCH(71,'Sign-ups'!$AO$2:$AO$301,0)),71,"")</f>
        <v/>
      </c>
      <c r="B76" s="27">
        <f>IFERROR(INDEX('Sign-ups'!$AE$2:$AE$301,MATCH(71,'Sign-ups'!$AO$2:$AO$301,0)),"")</f>
        <v/>
      </c>
      <c r="C76" s="27">
        <f>IFERROR(INDEX('Sign-ups'!$AF$2:$AF$301,MATCH(71,'Sign-ups'!$AO$2:$AO$301,0)),"")</f>
        <v/>
      </c>
      <c r="D76" s="27">
        <f>IFERROR(INDEX('Sign-ups'!$AG$2:$AG$301,MATCH(71,'Sign-ups'!$AO$2:$AO$301,0)),"")</f>
        <v/>
      </c>
      <c r="E76" s="27">
        <f>IFERROR(INDEX('Sign-ups'!$AH$2:$AH$301,MATCH(71,'Sign-ups'!$AO$2:$AO$301,0)),"")</f>
        <v/>
      </c>
      <c r="F76" s="27">
        <f>IFERROR(INDEX('Sign-ups'!$AI$2:$AI$301,MATCH(71,'Sign-ups'!$AO$2:$AO$301,0)),"")</f>
        <v/>
      </c>
      <c r="G76" s="27">
        <f>IFERROR(INDEX('Sign-ups'!$AK$2:$AK$301,MATCH(71,'Sign-ups'!$AO$2:$AO$301,0)),"")</f>
        <v/>
      </c>
      <c r="H76" s="26">
        <f>IFERROR(INDEX('Sign-ups'!$AJ$2:$AJ$301,MATCH(71,'Sign-ups'!$AO$2:$AO$301,0)),"")</f>
        <v/>
      </c>
      <c r="I76" s="26">
        <f>IFERROR(INDEX('Sign-ups'!$AN$2:$AN$301,MATCH(71,'Sign-ups'!$AO$2:$AO$301,0)),"")</f>
        <v/>
      </c>
      <c r="J76" s="26">
        <f>IFERROR(INDEX('Sign-ups'!$AA$2:$AA$301,MATCH(71,'Sign-ups'!$AO$2:$AO$301,0))&amp;"","")</f>
        <v/>
      </c>
      <c r="K76" s="27">
        <f>IFERROR(INDEX('Sign-ups'!$AB$2:$AB$301,MATCH(71,'Sign-ups'!$AO$2:$AO$301,0))&amp;"","")</f>
        <v/>
      </c>
    </row>
    <row r="77">
      <c r="A77" s="26">
        <f>IF(ISNUMBER(MATCH(72,'Sign-ups'!$AO$2:$AO$301,0)),72,"")</f>
        <v/>
      </c>
      <c r="B77" s="27">
        <f>IFERROR(INDEX('Sign-ups'!$AE$2:$AE$301,MATCH(72,'Sign-ups'!$AO$2:$AO$301,0)),"")</f>
        <v/>
      </c>
      <c r="C77" s="27">
        <f>IFERROR(INDEX('Sign-ups'!$AF$2:$AF$301,MATCH(72,'Sign-ups'!$AO$2:$AO$301,0)),"")</f>
        <v/>
      </c>
      <c r="D77" s="27">
        <f>IFERROR(INDEX('Sign-ups'!$AG$2:$AG$301,MATCH(72,'Sign-ups'!$AO$2:$AO$301,0)),"")</f>
        <v/>
      </c>
      <c r="E77" s="27">
        <f>IFERROR(INDEX('Sign-ups'!$AH$2:$AH$301,MATCH(72,'Sign-ups'!$AO$2:$AO$301,0)),"")</f>
        <v/>
      </c>
      <c r="F77" s="27">
        <f>IFERROR(INDEX('Sign-ups'!$AI$2:$AI$301,MATCH(72,'Sign-ups'!$AO$2:$AO$301,0)),"")</f>
        <v/>
      </c>
      <c r="G77" s="27">
        <f>IFERROR(INDEX('Sign-ups'!$AK$2:$AK$301,MATCH(72,'Sign-ups'!$AO$2:$AO$301,0)),"")</f>
        <v/>
      </c>
      <c r="H77" s="26">
        <f>IFERROR(INDEX('Sign-ups'!$AJ$2:$AJ$301,MATCH(72,'Sign-ups'!$AO$2:$AO$301,0)),"")</f>
        <v/>
      </c>
      <c r="I77" s="26">
        <f>IFERROR(INDEX('Sign-ups'!$AN$2:$AN$301,MATCH(72,'Sign-ups'!$AO$2:$AO$301,0)),"")</f>
        <v/>
      </c>
      <c r="J77" s="26">
        <f>IFERROR(INDEX('Sign-ups'!$AA$2:$AA$301,MATCH(72,'Sign-ups'!$AO$2:$AO$301,0))&amp;"","")</f>
        <v/>
      </c>
      <c r="K77" s="27">
        <f>IFERROR(INDEX('Sign-ups'!$AB$2:$AB$301,MATCH(72,'Sign-ups'!$AO$2:$AO$301,0))&amp;"","")</f>
        <v/>
      </c>
    </row>
    <row r="78">
      <c r="A78" s="26">
        <f>IF(ISNUMBER(MATCH(73,'Sign-ups'!$AO$2:$AO$301,0)),73,"")</f>
        <v/>
      </c>
      <c r="B78" s="27">
        <f>IFERROR(INDEX('Sign-ups'!$AE$2:$AE$301,MATCH(73,'Sign-ups'!$AO$2:$AO$301,0)),"")</f>
        <v/>
      </c>
      <c r="C78" s="27">
        <f>IFERROR(INDEX('Sign-ups'!$AF$2:$AF$301,MATCH(73,'Sign-ups'!$AO$2:$AO$301,0)),"")</f>
        <v/>
      </c>
      <c r="D78" s="27">
        <f>IFERROR(INDEX('Sign-ups'!$AG$2:$AG$301,MATCH(73,'Sign-ups'!$AO$2:$AO$301,0)),"")</f>
        <v/>
      </c>
      <c r="E78" s="27">
        <f>IFERROR(INDEX('Sign-ups'!$AH$2:$AH$301,MATCH(73,'Sign-ups'!$AO$2:$AO$301,0)),"")</f>
        <v/>
      </c>
      <c r="F78" s="27">
        <f>IFERROR(INDEX('Sign-ups'!$AI$2:$AI$301,MATCH(73,'Sign-ups'!$AO$2:$AO$301,0)),"")</f>
        <v/>
      </c>
      <c r="G78" s="27">
        <f>IFERROR(INDEX('Sign-ups'!$AK$2:$AK$301,MATCH(73,'Sign-ups'!$AO$2:$AO$301,0)),"")</f>
        <v/>
      </c>
      <c r="H78" s="26">
        <f>IFERROR(INDEX('Sign-ups'!$AJ$2:$AJ$301,MATCH(73,'Sign-ups'!$AO$2:$AO$301,0)),"")</f>
        <v/>
      </c>
      <c r="I78" s="26">
        <f>IFERROR(INDEX('Sign-ups'!$AN$2:$AN$301,MATCH(73,'Sign-ups'!$AO$2:$AO$301,0)),"")</f>
        <v/>
      </c>
      <c r="J78" s="26">
        <f>IFERROR(INDEX('Sign-ups'!$AA$2:$AA$301,MATCH(73,'Sign-ups'!$AO$2:$AO$301,0))&amp;"","")</f>
        <v/>
      </c>
      <c r="K78" s="27">
        <f>IFERROR(INDEX('Sign-ups'!$AB$2:$AB$301,MATCH(73,'Sign-ups'!$AO$2:$AO$301,0))&amp;"","")</f>
        <v/>
      </c>
    </row>
    <row r="79">
      <c r="A79" s="26">
        <f>IF(ISNUMBER(MATCH(74,'Sign-ups'!$AO$2:$AO$301,0)),74,"")</f>
        <v/>
      </c>
      <c r="B79" s="27">
        <f>IFERROR(INDEX('Sign-ups'!$AE$2:$AE$301,MATCH(74,'Sign-ups'!$AO$2:$AO$301,0)),"")</f>
        <v/>
      </c>
      <c r="C79" s="27">
        <f>IFERROR(INDEX('Sign-ups'!$AF$2:$AF$301,MATCH(74,'Sign-ups'!$AO$2:$AO$301,0)),"")</f>
        <v/>
      </c>
      <c r="D79" s="27">
        <f>IFERROR(INDEX('Sign-ups'!$AG$2:$AG$301,MATCH(74,'Sign-ups'!$AO$2:$AO$301,0)),"")</f>
        <v/>
      </c>
      <c r="E79" s="27">
        <f>IFERROR(INDEX('Sign-ups'!$AH$2:$AH$301,MATCH(74,'Sign-ups'!$AO$2:$AO$301,0)),"")</f>
        <v/>
      </c>
      <c r="F79" s="27">
        <f>IFERROR(INDEX('Sign-ups'!$AI$2:$AI$301,MATCH(74,'Sign-ups'!$AO$2:$AO$301,0)),"")</f>
        <v/>
      </c>
      <c r="G79" s="27">
        <f>IFERROR(INDEX('Sign-ups'!$AK$2:$AK$301,MATCH(74,'Sign-ups'!$AO$2:$AO$301,0)),"")</f>
        <v/>
      </c>
      <c r="H79" s="26">
        <f>IFERROR(INDEX('Sign-ups'!$AJ$2:$AJ$301,MATCH(74,'Sign-ups'!$AO$2:$AO$301,0)),"")</f>
        <v/>
      </c>
      <c r="I79" s="26">
        <f>IFERROR(INDEX('Sign-ups'!$AN$2:$AN$301,MATCH(74,'Sign-ups'!$AO$2:$AO$301,0)),"")</f>
        <v/>
      </c>
      <c r="J79" s="26">
        <f>IFERROR(INDEX('Sign-ups'!$AA$2:$AA$301,MATCH(74,'Sign-ups'!$AO$2:$AO$301,0))&amp;"","")</f>
        <v/>
      </c>
      <c r="K79" s="27">
        <f>IFERROR(INDEX('Sign-ups'!$AB$2:$AB$301,MATCH(74,'Sign-ups'!$AO$2:$AO$301,0))&amp;"","")</f>
        <v/>
      </c>
    </row>
    <row r="80">
      <c r="A80" s="26">
        <f>IF(ISNUMBER(MATCH(75,'Sign-ups'!$AO$2:$AO$301,0)),75,"")</f>
        <v/>
      </c>
      <c r="B80" s="27">
        <f>IFERROR(INDEX('Sign-ups'!$AE$2:$AE$301,MATCH(75,'Sign-ups'!$AO$2:$AO$301,0)),"")</f>
        <v/>
      </c>
      <c r="C80" s="27">
        <f>IFERROR(INDEX('Sign-ups'!$AF$2:$AF$301,MATCH(75,'Sign-ups'!$AO$2:$AO$301,0)),"")</f>
        <v/>
      </c>
      <c r="D80" s="27">
        <f>IFERROR(INDEX('Sign-ups'!$AG$2:$AG$301,MATCH(75,'Sign-ups'!$AO$2:$AO$301,0)),"")</f>
        <v/>
      </c>
      <c r="E80" s="27">
        <f>IFERROR(INDEX('Sign-ups'!$AH$2:$AH$301,MATCH(75,'Sign-ups'!$AO$2:$AO$301,0)),"")</f>
        <v/>
      </c>
      <c r="F80" s="27">
        <f>IFERROR(INDEX('Sign-ups'!$AI$2:$AI$301,MATCH(75,'Sign-ups'!$AO$2:$AO$301,0)),"")</f>
        <v/>
      </c>
      <c r="G80" s="27">
        <f>IFERROR(INDEX('Sign-ups'!$AK$2:$AK$301,MATCH(75,'Sign-ups'!$AO$2:$AO$301,0)),"")</f>
        <v/>
      </c>
      <c r="H80" s="26">
        <f>IFERROR(INDEX('Sign-ups'!$AJ$2:$AJ$301,MATCH(75,'Sign-ups'!$AO$2:$AO$301,0)),"")</f>
        <v/>
      </c>
      <c r="I80" s="26">
        <f>IFERROR(INDEX('Sign-ups'!$AN$2:$AN$301,MATCH(75,'Sign-ups'!$AO$2:$AO$301,0)),"")</f>
        <v/>
      </c>
      <c r="J80" s="26">
        <f>IFERROR(INDEX('Sign-ups'!$AA$2:$AA$301,MATCH(75,'Sign-ups'!$AO$2:$AO$301,0))&amp;"","")</f>
        <v/>
      </c>
      <c r="K80" s="27">
        <f>IFERROR(INDEX('Sign-ups'!$AB$2:$AB$301,MATCH(75,'Sign-ups'!$AO$2:$AO$301,0))&amp;"","")</f>
        <v/>
      </c>
    </row>
    <row r="81">
      <c r="A81" s="26">
        <f>IF(ISNUMBER(MATCH(76,'Sign-ups'!$AO$2:$AO$301,0)),76,"")</f>
        <v/>
      </c>
      <c r="B81" s="27">
        <f>IFERROR(INDEX('Sign-ups'!$AE$2:$AE$301,MATCH(76,'Sign-ups'!$AO$2:$AO$301,0)),"")</f>
        <v/>
      </c>
      <c r="C81" s="27">
        <f>IFERROR(INDEX('Sign-ups'!$AF$2:$AF$301,MATCH(76,'Sign-ups'!$AO$2:$AO$301,0)),"")</f>
        <v/>
      </c>
      <c r="D81" s="27">
        <f>IFERROR(INDEX('Sign-ups'!$AG$2:$AG$301,MATCH(76,'Sign-ups'!$AO$2:$AO$301,0)),"")</f>
        <v/>
      </c>
      <c r="E81" s="27">
        <f>IFERROR(INDEX('Sign-ups'!$AH$2:$AH$301,MATCH(76,'Sign-ups'!$AO$2:$AO$301,0)),"")</f>
        <v/>
      </c>
      <c r="F81" s="27">
        <f>IFERROR(INDEX('Sign-ups'!$AI$2:$AI$301,MATCH(76,'Sign-ups'!$AO$2:$AO$301,0)),"")</f>
        <v/>
      </c>
      <c r="G81" s="27">
        <f>IFERROR(INDEX('Sign-ups'!$AK$2:$AK$301,MATCH(76,'Sign-ups'!$AO$2:$AO$301,0)),"")</f>
        <v/>
      </c>
      <c r="H81" s="26">
        <f>IFERROR(INDEX('Sign-ups'!$AJ$2:$AJ$301,MATCH(76,'Sign-ups'!$AO$2:$AO$301,0)),"")</f>
        <v/>
      </c>
      <c r="I81" s="26">
        <f>IFERROR(INDEX('Sign-ups'!$AN$2:$AN$301,MATCH(76,'Sign-ups'!$AO$2:$AO$301,0)),"")</f>
        <v/>
      </c>
      <c r="J81" s="26">
        <f>IFERROR(INDEX('Sign-ups'!$AA$2:$AA$301,MATCH(76,'Sign-ups'!$AO$2:$AO$301,0))&amp;"","")</f>
        <v/>
      </c>
      <c r="K81" s="27">
        <f>IFERROR(INDEX('Sign-ups'!$AB$2:$AB$301,MATCH(76,'Sign-ups'!$AO$2:$AO$301,0))&amp;"","")</f>
        <v/>
      </c>
    </row>
    <row r="82">
      <c r="A82" s="26">
        <f>IF(ISNUMBER(MATCH(77,'Sign-ups'!$AO$2:$AO$301,0)),77,"")</f>
        <v/>
      </c>
      <c r="B82" s="27">
        <f>IFERROR(INDEX('Sign-ups'!$AE$2:$AE$301,MATCH(77,'Sign-ups'!$AO$2:$AO$301,0)),"")</f>
        <v/>
      </c>
      <c r="C82" s="27">
        <f>IFERROR(INDEX('Sign-ups'!$AF$2:$AF$301,MATCH(77,'Sign-ups'!$AO$2:$AO$301,0)),"")</f>
        <v/>
      </c>
      <c r="D82" s="27">
        <f>IFERROR(INDEX('Sign-ups'!$AG$2:$AG$301,MATCH(77,'Sign-ups'!$AO$2:$AO$301,0)),"")</f>
        <v/>
      </c>
      <c r="E82" s="27">
        <f>IFERROR(INDEX('Sign-ups'!$AH$2:$AH$301,MATCH(77,'Sign-ups'!$AO$2:$AO$301,0)),"")</f>
        <v/>
      </c>
      <c r="F82" s="27">
        <f>IFERROR(INDEX('Sign-ups'!$AI$2:$AI$301,MATCH(77,'Sign-ups'!$AO$2:$AO$301,0)),"")</f>
        <v/>
      </c>
      <c r="G82" s="27">
        <f>IFERROR(INDEX('Sign-ups'!$AK$2:$AK$301,MATCH(77,'Sign-ups'!$AO$2:$AO$301,0)),"")</f>
        <v/>
      </c>
      <c r="H82" s="26">
        <f>IFERROR(INDEX('Sign-ups'!$AJ$2:$AJ$301,MATCH(77,'Sign-ups'!$AO$2:$AO$301,0)),"")</f>
        <v/>
      </c>
      <c r="I82" s="26">
        <f>IFERROR(INDEX('Sign-ups'!$AN$2:$AN$301,MATCH(77,'Sign-ups'!$AO$2:$AO$301,0)),"")</f>
        <v/>
      </c>
      <c r="J82" s="26">
        <f>IFERROR(INDEX('Sign-ups'!$AA$2:$AA$301,MATCH(77,'Sign-ups'!$AO$2:$AO$301,0))&amp;"","")</f>
        <v/>
      </c>
      <c r="K82" s="27">
        <f>IFERROR(INDEX('Sign-ups'!$AB$2:$AB$301,MATCH(77,'Sign-ups'!$AO$2:$AO$301,0))&amp;"","")</f>
        <v/>
      </c>
    </row>
    <row r="83">
      <c r="A83" s="26">
        <f>IF(ISNUMBER(MATCH(78,'Sign-ups'!$AO$2:$AO$301,0)),78,"")</f>
        <v/>
      </c>
      <c r="B83" s="27">
        <f>IFERROR(INDEX('Sign-ups'!$AE$2:$AE$301,MATCH(78,'Sign-ups'!$AO$2:$AO$301,0)),"")</f>
        <v/>
      </c>
      <c r="C83" s="27">
        <f>IFERROR(INDEX('Sign-ups'!$AF$2:$AF$301,MATCH(78,'Sign-ups'!$AO$2:$AO$301,0)),"")</f>
        <v/>
      </c>
      <c r="D83" s="27">
        <f>IFERROR(INDEX('Sign-ups'!$AG$2:$AG$301,MATCH(78,'Sign-ups'!$AO$2:$AO$301,0)),"")</f>
        <v/>
      </c>
      <c r="E83" s="27">
        <f>IFERROR(INDEX('Sign-ups'!$AH$2:$AH$301,MATCH(78,'Sign-ups'!$AO$2:$AO$301,0)),"")</f>
        <v/>
      </c>
      <c r="F83" s="27">
        <f>IFERROR(INDEX('Sign-ups'!$AI$2:$AI$301,MATCH(78,'Sign-ups'!$AO$2:$AO$301,0)),"")</f>
        <v/>
      </c>
      <c r="G83" s="27">
        <f>IFERROR(INDEX('Sign-ups'!$AK$2:$AK$301,MATCH(78,'Sign-ups'!$AO$2:$AO$301,0)),"")</f>
        <v/>
      </c>
      <c r="H83" s="26">
        <f>IFERROR(INDEX('Sign-ups'!$AJ$2:$AJ$301,MATCH(78,'Sign-ups'!$AO$2:$AO$301,0)),"")</f>
        <v/>
      </c>
      <c r="I83" s="26">
        <f>IFERROR(INDEX('Sign-ups'!$AN$2:$AN$301,MATCH(78,'Sign-ups'!$AO$2:$AO$301,0)),"")</f>
        <v/>
      </c>
      <c r="J83" s="26">
        <f>IFERROR(INDEX('Sign-ups'!$AA$2:$AA$301,MATCH(78,'Sign-ups'!$AO$2:$AO$301,0))&amp;"","")</f>
        <v/>
      </c>
      <c r="K83" s="27">
        <f>IFERROR(INDEX('Sign-ups'!$AB$2:$AB$301,MATCH(78,'Sign-ups'!$AO$2:$AO$301,0))&amp;"","")</f>
        <v/>
      </c>
    </row>
    <row r="84">
      <c r="A84" s="26">
        <f>IF(ISNUMBER(MATCH(79,'Sign-ups'!$AO$2:$AO$301,0)),79,"")</f>
        <v/>
      </c>
      <c r="B84" s="27">
        <f>IFERROR(INDEX('Sign-ups'!$AE$2:$AE$301,MATCH(79,'Sign-ups'!$AO$2:$AO$301,0)),"")</f>
        <v/>
      </c>
      <c r="C84" s="27">
        <f>IFERROR(INDEX('Sign-ups'!$AF$2:$AF$301,MATCH(79,'Sign-ups'!$AO$2:$AO$301,0)),"")</f>
        <v/>
      </c>
      <c r="D84" s="27">
        <f>IFERROR(INDEX('Sign-ups'!$AG$2:$AG$301,MATCH(79,'Sign-ups'!$AO$2:$AO$301,0)),"")</f>
        <v/>
      </c>
      <c r="E84" s="27">
        <f>IFERROR(INDEX('Sign-ups'!$AH$2:$AH$301,MATCH(79,'Sign-ups'!$AO$2:$AO$301,0)),"")</f>
        <v/>
      </c>
      <c r="F84" s="27">
        <f>IFERROR(INDEX('Sign-ups'!$AI$2:$AI$301,MATCH(79,'Sign-ups'!$AO$2:$AO$301,0)),"")</f>
        <v/>
      </c>
      <c r="G84" s="27">
        <f>IFERROR(INDEX('Sign-ups'!$AK$2:$AK$301,MATCH(79,'Sign-ups'!$AO$2:$AO$301,0)),"")</f>
        <v/>
      </c>
      <c r="H84" s="26">
        <f>IFERROR(INDEX('Sign-ups'!$AJ$2:$AJ$301,MATCH(79,'Sign-ups'!$AO$2:$AO$301,0)),"")</f>
        <v/>
      </c>
      <c r="I84" s="26">
        <f>IFERROR(INDEX('Sign-ups'!$AN$2:$AN$301,MATCH(79,'Sign-ups'!$AO$2:$AO$301,0)),"")</f>
        <v/>
      </c>
      <c r="J84" s="26">
        <f>IFERROR(INDEX('Sign-ups'!$AA$2:$AA$301,MATCH(79,'Sign-ups'!$AO$2:$AO$301,0))&amp;"","")</f>
        <v/>
      </c>
      <c r="K84" s="27">
        <f>IFERROR(INDEX('Sign-ups'!$AB$2:$AB$301,MATCH(79,'Sign-ups'!$AO$2:$AO$301,0))&amp;"","")</f>
        <v/>
      </c>
    </row>
    <row r="85">
      <c r="A85" s="26">
        <f>IF(ISNUMBER(MATCH(80,'Sign-ups'!$AO$2:$AO$301,0)),80,"")</f>
        <v/>
      </c>
      <c r="B85" s="27">
        <f>IFERROR(INDEX('Sign-ups'!$AE$2:$AE$301,MATCH(80,'Sign-ups'!$AO$2:$AO$301,0)),"")</f>
        <v/>
      </c>
      <c r="C85" s="27">
        <f>IFERROR(INDEX('Sign-ups'!$AF$2:$AF$301,MATCH(80,'Sign-ups'!$AO$2:$AO$301,0)),"")</f>
        <v/>
      </c>
      <c r="D85" s="27">
        <f>IFERROR(INDEX('Sign-ups'!$AG$2:$AG$301,MATCH(80,'Sign-ups'!$AO$2:$AO$301,0)),"")</f>
        <v/>
      </c>
      <c r="E85" s="27">
        <f>IFERROR(INDEX('Sign-ups'!$AH$2:$AH$301,MATCH(80,'Sign-ups'!$AO$2:$AO$301,0)),"")</f>
        <v/>
      </c>
      <c r="F85" s="27">
        <f>IFERROR(INDEX('Sign-ups'!$AI$2:$AI$301,MATCH(80,'Sign-ups'!$AO$2:$AO$301,0)),"")</f>
        <v/>
      </c>
      <c r="G85" s="27">
        <f>IFERROR(INDEX('Sign-ups'!$AK$2:$AK$301,MATCH(80,'Sign-ups'!$AO$2:$AO$301,0)),"")</f>
        <v/>
      </c>
      <c r="H85" s="26">
        <f>IFERROR(INDEX('Sign-ups'!$AJ$2:$AJ$301,MATCH(80,'Sign-ups'!$AO$2:$AO$301,0)),"")</f>
        <v/>
      </c>
      <c r="I85" s="26">
        <f>IFERROR(INDEX('Sign-ups'!$AN$2:$AN$301,MATCH(80,'Sign-ups'!$AO$2:$AO$301,0)),"")</f>
        <v/>
      </c>
      <c r="J85" s="26">
        <f>IFERROR(INDEX('Sign-ups'!$AA$2:$AA$301,MATCH(80,'Sign-ups'!$AO$2:$AO$301,0))&amp;"","")</f>
        <v/>
      </c>
      <c r="K85" s="27">
        <f>IFERROR(INDEX('Sign-ups'!$AB$2:$AB$301,MATCH(80,'Sign-ups'!$AO$2:$AO$301,0))&amp;"","")</f>
        <v/>
      </c>
    </row>
    <row r="86">
      <c r="A86" s="26">
        <f>IF(ISNUMBER(MATCH(81,'Sign-ups'!$AO$2:$AO$301,0)),81,"")</f>
        <v/>
      </c>
      <c r="B86" s="27">
        <f>IFERROR(INDEX('Sign-ups'!$AE$2:$AE$301,MATCH(81,'Sign-ups'!$AO$2:$AO$301,0)),"")</f>
        <v/>
      </c>
      <c r="C86" s="27">
        <f>IFERROR(INDEX('Sign-ups'!$AF$2:$AF$301,MATCH(81,'Sign-ups'!$AO$2:$AO$301,0)),"")</f>
        <v/>
      </c>
      <c r="D86" s="27">
        <f>IFERROR(INDEX('Sign-ups'!$AG$2:$AG$301,MATCH(81,'Sign-ups'!$AO$2:$AO$301,0)),"")</f>
        <v/>
      </c>
      <c r="E86" s="27">
        <f>IFERROR(INDEX('Sign-ups'!$AH$2:$AH$301,MATCH(81,'Sign-ups'!$AO$2:$AO$301,0)),"")</f>
        <v/>
      </c>
      <c r="F86" s="27">
        <f>IFERROR(INDEX('Sign-ups'!$AI$2:$AI$301,MATCH(81,'Sign-ups'!$AO$2:$AO$301,0)),"")</f>
        <v/>
      </c>
      <c r="G86" s="27">
        <f>IFERROR(INDEX('Sign-ups'!$AK$2:$AK$301,MATCH(81,'Sign-ups'!$AO$2:$AO$301,0)),"")</f>
        <v/>
      </c>
      <c r="H86" s="26">
        <f>IFERROR(INDEX('Sign-ups'!$AJ$2:$AJ$301,MATCH(81,'Sign-ups'!$AO$2:$AO$301,0)),"")</f>
        <v/>
      </c>
      <c r="I86" s="26">
        <f>IFERROR(INDEX('Sign-ups'!$AN$2:$AN$301,MATCH(81,'Sign-ups'!$AO$2:$AO$301,0)),"")</f>
        <v/>
      </c>
      <c r="J86" s="26">
        <f>IFERROR(INDEX('Sign-ups'!$AA$2:$AA$301,MATCH(81,'Sign-ups'!$AO$2:$AO$301,0))&amp;"","")</f>
        <v/>
      </c>
      <c r="K86" s="27">
        <f>IFERROR(INDEX('Sign-ups'!$AB$2:$AB$301,MATCH(81,'Sign-ups'!$AO$2:$AO$301,0))&amp;"","")</f>
        <v/>
      </c>
    </row>
    <row r="87">
      <c r="A87" s="26">
        <f>IF(ISNUMBER(MATCH(82,'Sign-ups'!$AO$2:$AO$301,0)),82,"")</f>
        <v/>
      </c>
      <c r="B87" s="27">
        <f>IFERROR(INDEX('Sign-ups'!$AE$2:$AE$301,MATCH(82,'Sign-ups'!$AO$2:$AO$301,0)),"")</f>
        <v/>
      </c>
      <c r="C87" s="27">
        <f>IFERROR(INDEX('Sign-ups'!$AF$2:$AF$301,MATCH(82,'Sign-ups'!$AO$2:$AO$301,0)),"")</f>
        <v/>
      </c>
      <c r="D87" s="27">
        <f>IFERROR(INDEX('Sign-ups'!$AG$2:$AG$301,MATCH(82,'Sign-ups'!$AO$2:$AO$301,0)),"")</f>
        <v/>
      </c>
      <c r="E87" s="27">
        <f>IFERROR(INDEX('Sign-ups'!$AH$2:$AH$301,MATCH(82,'Sign-ups'!$AO$2:$AO$301,0)),"")</f>
        <v/>
      </c>
      <c r="F87" s="27">
        <f>IFERROR(INDEX('Sign-ups'!$AI$2:$AI$301,MATCH(82,'Sign-ups'!$AO$2:$AO$301,0)),"")</f>
        <v/>
      </c>
      <c r="G87" s="27">
        <f>IFERROR(INDEX('Sign-ups'!$AK$2:$AK$301,MATCH(82,'Sign-ups'!$AO$2:$AO$301,0)),"")</f>
        <v/>
      </c>
      <c r="H87" s="26">
        <f>IFERROR(INDEX('Sign-ups'!$AJ$2:$AJ$301,MATCH(82,'Sign-ups'!$AO$2:$AO$301,0)),"")</f>
        <v/>
      </c>
      <c r="I87" s="26">
        <f>IFERROR(INDEX('Sign-ups'!$AN$2:$AN$301,MATCH(82,'Sign-ups'!$AO$2:$AO$301,0)),"")</f>
        <v/>
      </c>
      <c r="J87" s="26">
        <f>IFERROR(INDEX('Sign-ups'!$AA$2:$AA$301,MATCH(82,'Sign-ups'!$AO$2:$AO$301,0))&amp;"","")</f>
        <v/>
      </c>
      <c r="K87" s="27">
        <f>IFERROR(INDEX('Sign-ups'!$AB$2:$AB$301,MATCH(82,'Sign-ups'!$AO$2:$AO$301,0))&amp;"","")</f>
        <v/>
      </c>
    </row>
    <row r="88">
      <c r="A88" s="26">
        <f>IF(ISNUMBER(MATCH(83,'Sign-ups'!$AO$2:$AO$301,0)),83,"")</f>
        <v/>
      </c>
      <c r="B88" s="27">
        <f>IFERROR(INDEX('Sign-ups'!$AE$2:$AE$301,MATCH(83,'Sign-ups'!$AO$2:$AO$301,0)),"")</f>
        <v/>
      </c>
      <c r="C88" s="27">
        <f>IFERROR(INDEX('Sign-ups'!$AF$2:$AF$301,MATCH(83,'Sign-ups'!$AO$2:$AO$301,0)),"")</f>
        <v/>
      </c>
      <c r="D88" s="27">
        <f>IFERROR(INDEX('Sign-ups'!$AG$2:$AG$301,MATCH(83,'Sign-ups'!$AO$2:$AO$301,0)),"")</f>
        <v/>
      </c>
      <c r="E88" s="27">
        <f>IFERROR(INDEX('Sign-ups'!$AH$2:$AH$301,MATCH(83,'Sign-ups'!$AO$2:$AO$301,0)),"")</f>
        <v/>
      </c>
      <c r="F88" s="27">
        <f>IFERROR(INDEX('Sign-ups'!$AI$2:$AI$301,MATCH(83,'Sign-ups'!$AO$2:$AO$301,0)),"")</f>
        <v/>
      </c>
      <c r="G88" s="27">
        <f>IFERROR(INDEX('Sign-ups'!$AK$2:$AK$301,MATCH(83,'Sign-ups'!$AO$2:$AO$301,0)),"")</f>
        <v/>
      </c>
      <c r="H88" s="26">
        <f>IFERROR(INDEX('Sign-ups'!$AJ$2:$AJ$301,MATCH(83,'Sign-ups'!$AO$2:$AO$301,0)),"")</f>
        <v/>
      </c>
      <c r="I88" s="26">
        <f>IFERROR(INDEX('Sign-ups'!$AN$2:$AN$301,MATCH(83,'Sign-ups'!$AO$2:$AO$301,0)),"")</f>
        <v/>
      </c>
      <c r="J88" s="26">
        <f>IFERROR(INDEX('Sign-ups'!$AA$2:$AA$301,MATCH(83,'Sign-ups'!$AO$2:$AO$301,0))&amp;"","")</f>
        <v/>
      </c>
      <c r="K88" s="27">
        <f>IFERROR(INDEX('Sign-ups'!$AB$2:$AB$301,MATCH(83,'Sign-ups'!$AO$2:$AO$301,0))&amp;"","")</f>
        <v/>
      </c>
    </row>
    <row r="89">
      <c r="A89" s="26">
        <f>IF(ISNUMBER(MATCH(84,'Sign-ups'!$AO$2:$AO$301,0)),84,"")</f>
        <v/>
      </c>
      <c r="B89" s="27">
        <f>IFERROR(INDEX('Sign-ups'!$AE$2:$AE$301,MATCH(84,'Sign-ups'!$AO$2:$AO$301,0)),"")</f>
        <v/>
      </c>
      <c r="C89" s="27">
        <f>IFERROR(INDEX('Sign-ups'!$AF$2:$AF$301,MATCH(84,'Sign-ups'!$AO$2:$AO$301,0)),"")</f>
        <v/>
      </c>
      <c r="D89" s="27">
        <f>IFERROR(INDEX('Sign-ups'!$AG$2:$AG$301,MATCH(84,'Sign-ups'!$AO$2:$AO$301,0)),"")</f>
        <v/>
      </c>
      <c r="E89" s="27">
        <f>IFERROR(INDEX('Sign-ups'!$AH$2:$AH$301,MATCH(84,'Sign-ups'!$AO$2:$AO$301,0)),"")</f>
        <v/>
      </c>
      <c r="F89" s="27">
        <f>IFERROR(INDEX('Sign-ups'!$AI$2:$AI$301,MATCH(84,'Sign-ups'!$AO$2:$AO$301,0)),"")</f>
        <v/>
      </c>
      <c r="G89" s="27">
        <f>IFERROR(INDEX('Sign-ups'!$AK$2:$AK$301,MATCH(84,'Sign-ups'!$AO$2:$AO$301,0)),"")</f>
        <v/>
      </c>
      <c r="H89" s="26">
        <f>IFERROR(INDEX('Sign-ups'!$AJ$2:$AJ$301,MATCH(84,'Sign-ups'!$AO$2:$AO$301,0)),"")</f>
        <v/>
      </c>
      <c r="I89" s="26">
        <f>IFERROR(INDEX('Sign-ups'!$AN$2:$AN$301,MATCH(84,'Sign-ups'!$AO$2:$AO$301,0)),"")</f>
        <v/>
      </c>
      <c r="J89" s="26">
        <f>IFERROR(INDEX('Sign-ups'!$AA$2:$AA$301,MATCH(84,'Sign-ups'!$AO$2:$AO$301,0))&amp;"","")</f>
        <v/>
      </c>
      <c r="K89" s="27">
        <f>IFERROR(INDEX('Sign-ups'!$AB$2:$AB$301,MATCH(84,'Sign-ups'!$AO$2:$AO$301,0))&amp;"","")</f>
        <v/>
      </c>
    </row>
    <row r="90">
      <c r="A90" s="26">
        <f>IF(ISNUMBER(MATCH(85,'Sign-ups'!$AO$2:$AO$301,0)),85,"")</f>
        <v/>
      </c>
      <c r="B90" s="27">
        <f>IFERROR(INDEX('Sign-ups'!$AE$2:$AE$301,MATCH(85,'Sign-ups'!$AO$2:$AO$301,0)),"")</f>
        <v/>
      </c>
      <c r="C90" s="27">
        <f>IFERROR(INDEX('Sign-ups'!$AF$2:$AF$301,MATCH(85,'Sign-ups'!$AO$2:$AO$301,0)),"")</f>
        <v/>
      </c>
      <c r="D90" s="27">
        <f>IFERROR(INDEX('Sign-ups'!$AG$2:$AG$301,MATCH(85,'Sign-ups'!$AO$2:$AO$301,0)),"")</f>
        <v/>
      </c>
      <c r="E90" s="27">
        <f>IFERROR(INDEX('Sign-ups'!$AH$2:$AH$301,MATCH(85,'Sign-ups'!$AO$2:$AO$301,0)),"")</f>
        <v/>
      </c>
      <c r="F90" s="27">
        <f>IFERROR(INDEX('Sign-ups'!$AI$2:$AI$301,MATCH(85,'Sign-ups'!$AO$2:$AO$301,0)),"")</f>
        <v/>
      </c>
      <c r="G90" s="27">
        <f>IFERROR(INDEX('Sign-ups'!$AK$2:$AK$301,MATCH(85,'Sign-ups'!$AO$2:$AO$301,0)),"")</f>
        <v/>
      </c>
      <c r="H90" s="26">
        <f>IFERROR(INDEX('Sign-ups'!$AJ$2:$AJ$301,MATCH(85,'Sign-ups'!$AO$2:$AO$301,0)),"")</f>
        <v/>
      </c>
      <c r="I90" s="26">
        <f>IFERROR(INDEX('Sign-ups'!$AN$2:$AN$301,MATCH(85,'Sign-ups'!$AO$2:$AO$301,0)),"")</f>
        <v/>
      </c>
      <c r="J90" s="26">
        <f>IFERROR(INDEX('Sign-ups'!$AA$2:$AA$301,MATCH(85,'Sign-ups'!$AO$2:$AO$301,0))&amp;"","")</f>
        <v/>
      </c>
      <c r="K90" s="27">
        <f>IFERROR(INDEX('Sign-ups'!$AB$2:$AB$301,MATCH(85,'Sign-ups'!$AO$2:$AO$301,0))&amp;"","")</f>
        <v/>
      </c>
    </row>
    <row r="91">
      <c r="A91" s="26">
        <f>IF(ISNUMBER(MATCH(86,'Sign-ups'!$AO$2:$AO$301,0)),86,"")</f>
        <v/>
      </c>
      <c r="B91" s="27">
        <f>IFERROR(INDEX('Sign-ups'!$AE$2:$AE$301,MATCH(86,'Sign-ups'!$AO$2:$AO$301,0)),"")</f>
        <v/>
      </c>
      <c r="C91" s="27">
        <f>IFERROR(INDEX('Sign-ups'!$AF$2:$AF$301,MATCH(86,'Sign-ups'!$AO$2:$AO$301,0)),"")</f>
        <v/>
      </c>
      <c r="D91" s="27">
        <f>IFERROR(INDEX('Sign-ups'!$AG$2:$AG$301,MATCH(86,'Sign-ups'!$AO$2:$AO$301,0)),"")</f>
        <v/>
      </c>
      <c r="E91" s="27">
        <f>IFERROR(INDEX('Sign-ups'!$AH$2:$AH$301,MATCH(86,'Sign-ups'!$AO$2:$AO$301,0)),"")</f>
        <v/>
      </c>
      <c r="F91" s="27">
        <f>IFERROR(INDEX('Sign-ups'!$AI$2:$AI$301,MATCH(86,'Sign-ups'!$AO$2:$AO$301,0)),"")</f>
        <v/>
      </c>
      <c r="G91" s="27">
        <f>IFERROR(INDEX('Sign-ups'!$AK$2:$AK$301,MATCH(86,'Sign-ups'!$AO$2:$AO$301,0)),"")</f>
        <v/>
      </c>
      <c r="H91" s="26">
        <f>IFERROR(INDEX('Sign-ups'!$AJ$2:$AJ$301,MATCH(86,'Sign-ups'!$AO$2:$AO$301,0)),"")</f>
        <v/>
      </c>
      <c r="I91" s="26">
        <f>IFERROR(INDEX('Sign-ups'!$AN$2:$AN$301,MATCH(86,'Sign-ups'!$AO$2:$AO$301,0)),"")</f>
        <v/>
      </c>
      <c r="J91" s="26">
        <f>IFERROR(INDEX('Sign-ups'!$AA$2:$AA$301,MATCH(86,'Sign-ups'!$AO$2:$AO$301,0))&amp;"","")</f>
        <v/>
      </c>
      <c r="K91" s="27">
        <f>IFERROR(INDEX('Sign-ups'!$AB$2:$AB$301,MATCH(86,'Sign-ups'!$AO$2:$AO$301,0))&amp;"","")</f>
        <v/>
      </c>
    </row>
    <row r="92">
      <c r="A92" s="26">
        <f>IF(ISNUMBER(MATCH(87,'Sign-ups'!$AO$2:$AO$301,0)),87,"")</f>
        <v/>
      </c>
      <c r="B92" s="27">
        <f>IFERROR(INDEX('Sign-ups'!$AE$2:$AE$301,MATCH(87,'Sign-ups'!$AO$2:$AO$301,0)),"")</f>
        <v/>
      </c>
      <c r="C92" s="27">
        <f>IFERROR(INDEX('Sign-ups'!$AF$2:$AF$301,MATCH(87,'Sign-ups'!$AO$2:$AO$301,0)),"")</f>
        <v/>
      </c>
      <c r="D92" s="27">
        <f>IFERROR(INDEX('Sign-ups'!$AG$2:$AG$301,MATCH(87,'Sign-ups'!$AO$2:$AO$301,0)),"")</f>
        <v/>
      </c>
      <c r="E92" s="27">
        <f>IFERROR(INDEX('Sign-ups'!$AH$2:$AH$301,MATCH(87,'Sign-ups'!$AO$2:$AO$301,0)),"")</f>
        <v/>
      </c>
      <c r="F92" s="27">
        <f>IFERROR(INDEX('Sign-ups'!$AI$2:$AI$301,MATCH(87,'Sign-ups'!$AO$2:$AO$301,0)),"")</f>
        <v/>
      </c>
      <c r="G92" s="27">
        <f>IFERROR(INDEX('Sign-ups'!$AK$2:$AK$301,MATCH(87,'Sign-ups'!$AO$2:$AO$301,0)),"")</f>
        <v/>
      </c>
      <c r="H92" s="26">
        <f>IFERROR(INDEX('Sign-ups'!$AJ$2:$AJ$301,MATCH(87,'Sign-ups'!$AO$2:$AO$301,0)),"")</f>
        <v/>
      </c>
      <c r="I92" s="26">
        <f>IFERROR(INDEX('Sign-ups'!$AN$2:$AN$301,MATCH(87,'Sign-ups'!$AO$2:$AO$301,0)),"")</f>
        <v/>
      </c>
      <c r="J92" s="26">
        <f>IFERROR(INDEX('Sign-ups'!$AA$2:$AA$301,MATCH(87,'Sign-ups'!$AO$2:$AO$301,0))&amp;"","")</f>
        <v/>
      </c>
      <c r="K92" s="27">
        <f>IFERROR(INDEX('Sign-ups'!$AB$2:$AB$301,MATCH(87,'Sign-ups'!$AO$2:$AO$301,0))&amp;"","")</f>
        <v/>
      </c>
    </row>
    <row r="93">
      <c r="A93" s="26">
        <f>IF(ISNUMBER(MATCH(88,'Sign-ups'!$AO$2:$AO$301,0)),88,"")</f>
        <v/>
      </c>
      <c r="B93" s="27">
        <f>IFERROR(INDEX('Sign-ups'!$AE$2:$AE$301,MATCH(88,'Sign-ups'!$AO$2:$AO$301,0)),"")</f>
        <v/>
      </c>
      <c r="C93" s="27">
        <f>IFERROR(INDEX('Sign-ups'!$AF$2:$AF$301,MATCH(88,'Sign-ups'!$AO$2:$AO$301,0)),"")</f>
        <v/>
      </c>
      <c r="D93" s="27">
        <f>IFERROR(INDEX('Sign-ups'!$AG$2:$AG$301,MATCH(88,'Sign-ups'!$AO$2:$AO$301,0)),"")</f>
        <v/>
      </c>
      <c r="E93" s="27">
        <f>IFERROR(INDEX('Sign-ups'!$AH$2:$AH$301,MATCH(88,'Sign-ups'!$AO$2:$AO$301,0)),"")</f>
        <v/>
      </c>
      <c r="F93" s="27">
        <f>IFERROR(INDEX('Sign-ups'!$AI$2:$AI$301,MATCH(88,'Sign-ups'!$AO$2:$AO$301,0)),"")</f>
        <v/>
      </c>
      <c r="G93" s="27">
        <f>IFERROR(INDEX('Sign-ups'!$AK$2:$AK$301,MATCH(88,'Sign-ups'!$AO$2:$AO$301,0)),"")</f>
        <v/>
      </c>
      <c r="H93" s="26">
        <f>IFERROR(INDEX('Sign-ups'!$AJ$2:$AJ$301,MATCH(88,'Sign-ups'!$AO$2:$AO$301,0)),"")</f>
        <v/>
      </c>
      <c r="I93" s="26">
        <f>IFERROR(INDEX('Sign-ups'!$AN$2:$AN$301,MATCH(88,'Sign-ups'!$AO$2:$AO$301,0)),"")</f>
        <v/>
      </c>
      <c r="J93" s="26">
        <f>IFERROR(INDEX('Sign-ups'!$AA$2:$AA$301,MATCH(88,'Sign-ups'!$AO$2:$AO$301,0))&amp;"","")</f>
        <v/>
      </c>
      <c r="K93" s="27">
        <f>IFERROR(INDEX('Sign-ups'!$AB$2:$AB$301,MATCH(88,'Sign-ups'!$AO$2:$AO$301,0))&amp;"","")</f>
        <v/>
      </c>
    </row>
    <row r="94">
      <c r="A94" s="26">
        <f>IF(ISNUMBER(MATCH(89,'Sign-ups'!$AO$2:$AO$301,0)),89,"")</f>
        <v/>
      </c>
      <c r="B94" s="27">
        <f>IFERROR(INDEX('Sign-ups'!$AE$2:$AE$301,MATCH(89,'Sign-ups'!$AO$2:$AO$301,0)),"")</f>
        <v/>
      </c>
      <c r="C94" s="27">
        <f>IFERROR(INDEX('Sign-ups'!$AF$2:$AF$301,MATCH(89,'Sign-ups'!$AO$2:$AO$301,0)),"")</f>
        <v/>
      </c>
      <c r="D94" s="27">
        <f>IFERROR(INDEX('Sign-ups'!$AG$2:$AG$301,MATCH(89,'Sign-ups'!$AO$2:$AO$301,0)),"")</f>
        <v/>
      </c>
      <c r="E94" s="27">
        <f>IFERROR(INDEX('Sign-ups'!$AH$2:$AH$301,MATCH(89,'Sign-ups'!$AO$2:$AO$301,0)),"")</f>
        <v/>
      </c>
      <c r="F94" s="27">
        <f>IFERROR(INDEX('Sign-ups'!$AI$2:$AI$301,MATCH(89,'Sign-ups'!$AO$2:$AO$301,0)),"")</f>
        <v/>
      </c>
      <c r="G94" s="27">
        <f>IFERROR(INDEX('Sign-ups'!$AK$2:$AK$301,MATCH(89,'Sign-ups'!$AO$2:$AO$301,0)),"")</f>
        <v/>
      </c>
      <c r="H94" s="26">
        <f>IFERROR(INDEX('Sign-ups'!$AJ$2:$AJ$301,MATCH(89,'Sign-ups'!$AO$2:$AO$301,0)),"")</f>
        <v/>
      </c>
      <c r="I94" s="26">
        <f>IFERROR(INDEX('Sign-ups'!$AN$2:$AN$301,MATCH(89,'Sign-ups'!$AO$2:$AO$301,0)),"")</f>
        <v/>
      </c>
      <c r="J94" s="26">
        <f>IFERROR(INDEX('Sign-ups'!$AA$2:$AA$301,MATCH(89,'Sign-ups'!$AO$2:$AO$301,0))&amp;"","")</f>
        <v/>
      </c>
      <c r="K94" s="27">
        <f>IFERROR(INDEX('Sign-ups'!$AB$2:$AB$301,MATCH(89,'Sign-ups'!$AO$2:$AO$301,0))&amp;"","")</f>
        <v/>
      </c>
    </row>
    <row r="95">
      <c r="A95" s="26">
        <f>IF(ISNUMBER(MATCH(90,'Sign-ups'!$AO$2:$AO$301,0)),90,"")</f>
        <v/>
      </c>
      <c r="B95" s="27">
        <f>IFERROR(INDEX('Sign-ups'!$AE$2:$AE$301,MATCH(90,'Sign-ups'!$AO$2:$AO$301,0)),"")</f>
        <v/>
      </c>
      <c r="C95" s="27">
        <f>IFERROR(INDEX('Sign-ups'!$AF$2:$AF$301,MATCH(90,'Sign-ups'!$AO$2:$AO$301,0)),"")</f>
        <v/>
      </c>
      <c r="D95" s="27">
        <f>IFERROR(INDEX('Sign-ups'!$AG$2:$AG$301,MATCH(90,'Sign-ups'!$AO$2:$AO$301,0)),"")</f>
        <v/>
      </c>
      <c r="E95" s="27">
        <f>IFERROR(INDEX('Sign-ups'!$AH$2:$AH$301,MATCH(90,'Sign-ups'!$AO$2:$AO$301,0)),"")</f>
        <v/>
      </c>
      <c r="F95" s="27">
        <f>IFERROR(INDEX('Sign-ups'!$AI$2:$AI$301,MATCH(90,'Sign-ups'!$AO$2:$AO$301,0)),"")</f>
        <v/>
      </c>
      <c r="G95" s="27">
        <f>IFERROR(INDEX('Sign-ups'!$AK$2:$AK$301,MATCH(90,'Sign-ups'!$AO$2:$AO$301,0)),"")</f>
        <v/>
      </c>
      <c r="H95" s="26">
        <f>IFERROR(INDEX('Sign-ups'!$AJ$2:$AJ$301,MATCH(90,'Sign-ups'!$AO$2:$AO$301,0)),"")</f>
        <v/>
      </c>
      <c r="I95" s="26">
        <f>IFERROR(INDEX('Sign-ups'!$AN$2:$AN$301,MATCH(90,'Sign-ups'!$AO$2:$AO$301,0)),"")</f>
        <v/>
      </c>
      <c r="J95" s="26">
        <f>IFERROR(INDEX('Sign-ups'!$AA$2:$AA$301,MATCH(90,'Sign-ups'!$AO$2:$AO$301,0))&amp;"","")</f>
        <v/>
      </c>
      <c r="K95" s="27">
        <f>IFERROR(INDEX('Sign-ups'!$AB$2:$AB$301,MATCH(90,'Sign-ups'!$AO$2:$AO$301,0))&amp;"","")</f>
        <v/>
      </c>
    </row>
    <row r="96">
      <c r="A96" s="26">
        <f>IF(ISNUMBER(MATCH(91,'Sign-ups'!$AO$2:$AO$301,0)),91,"")</f>
        <v/>
      </c>
      <c r="B96" s="27">
        <f>IFERROR(INDEX('Sign-ups'!$AE$2:$AE$301,MATCH(91,'Sign-ups'!$AO$2:$AO$301,0)),"")</f>
        <v/>
      </c>
      <c r="C96" s="27">
        <f>IFERROR(INDEX('Sign-ups'!$AF$2:$AF$301,MATCH(91,'Sign-ups'!$AO$2:$AO$301,0)),"")</f>
        <v/>
      </c>
      <c r="D96" s="27">
        <f>IFERROR(INDEX('Sign-ups'!$AG$2:$AG$301,MATCH(91,'Sign-ups'!$AO$2:$AO$301,0)),"")</f>
        <v/>
      </c>
      <c r="E96" s="27">
        <f>IFERROR(INDEX('Sign-ups'!$AH$2:$AH$301,MATCH(91,'Sign-ups'!$AO$2:$AO$301,0)),"")</f>
        <v/>
      </c>
      <c r="F96" s="27">
        <f>IFERROR(INDEX('Sign-ups'!$AI$2:$AI$301,MATCH(91,'Sign-ups'!$AO$2:$AO$301,0)),"")</f>
        <v/>
      </c>
      <c r="G96" s="27">
        <f>IFERROR(INDEX('Sign-ups'!$AK$2:$AK$301,MATCH(91,'Sign-ups'!$AO$2:$AO$301,0)),"")</f>
        <v/>
      </c>
      <c r="H96" s="26">
        <f>IFERROR(INDEX('Sign-ups'!$AJ$2:$AJ$301,MATCH(91,'Sign-ups'!$AO$2:$AO$301,0)),"")</f>
        <v/>
      </c>
      <c r="I96" s="26">
        <f>IFERROR(INDEX('Sign-ups'!$AN$2:$AN$301,MATCH(91,'Sign-ups'!$AO$2:$AO$301,0)),"")</f>
        <v/>
      </c>
      <c r="J96" s="26">
        <f>IFERROR(INDEX('Sign-ups'!$AA$2:$AA$301,MATCH(91,'Sign-ups'!$AO$2:$AO$301,0))&amp;"","")</f>
        <v/>
      </c>
      <c r="K96" s="27">
        <f>IFERROR(INDEX('Sign-ups'!$AB$2:$AB$301,MATCH(91,'Sign-ups'!$AO$2:$AO$301,0))&amp;"","")</f>
        <v/>
      </c>
    </row>
    <row r="97">
      <c r="A97" s="26">
        <f>IF(ISNUMBER(MATCH(92,'Sign-ups'!$AO$2:$AO$301,0)),92,"")</f>
        <v/>
      </c>
      <c r="B97" s="27">
        <f>IFERROR(INDEX('Sign-ups'!$AE$2:$AE$301,MATCH(92,'Sign-ups'!$AO$2:$AO$301,0)),"")</f>
        <v/>
      </c>
      <c r="C97" s="27">
        <f>IFERROR(INDEX('Sign-ups'!$AF$2:$AF$301,MATCH(92,'Sign-ups'!$AO$2:$AO$301,0)),"")</f>
        <v/>
      </c>
      <c r="D97" s="27">
        <f>IFERROR(INDEX('Sign-ups'!$AG$2:$AG$301,MATCH(92,'Sign-ups'!$AO$2:$AO$301,0)),"")</f>
        <v/>
      </c>
      <c r="E97" s="27">
        <f>IFERROR(INDEX('Sign-ups'!$AH$2:$AH$301,MATCH(92,'Sign-ups'!$AO$2:$AO$301,0)),"")</f>
        <v/>
      </c>
      <c r="F97" s="27">
        <f>IFERROR(INDEX('Sign-ups'!$AI$2:$AI$301,MATCH(92,'Sign-ups'!$AO$2:$AO$301,0)),"")</f>
        <v/>
      </c>
      <c r="G97" s="27">
        <f>IFERROR(INDEX('Sign-ups'!$AK$2:$AK$301,MATCH(92,'Sign-ups'!$AO$2:$AO$301,0)),"")</f>
        <v/>
      </c>
      <c r="H97" s="26">
        <f>IFERROR(INDEX('Sign-ups'!$AJ$2:$AJ$301,MATCH(92,'Sign-ups'!$AO$2:$AO$301,0)),"")</f>
        <v/>
      </c>
      <c r="I97" s="26">
        <f>IFERROR(INDEX('Sign-ups'!$AN$2:$AN$301,MATCH(92,'Sign-ups'!$AO$2:$AO$301,0)),"")</f>
        <v/>
      </c>
      <c r="J97" s="26">
        <f>IFERROR(INDEX('Sign-ups'!$AA$2:$AA$301,MATCH(92,'Sign-ups'!$AO$2:$AO$301,0))&amp;"","")</f>
        <v/>
      </c>
      <c r="K97" s="27">
        <f>IFERROR(INDEX('Sign-ups'!$AB$2:$AB$301,MATCH(92,'Sign-ups'!$AO$2:$AO$301,0))&amp;"","")</f>
        <v/>
      </c>
    </row>
    <row r="98">
      <c r="A98" s="26">
        <f>IF(ISNUMBER(MATCH(93,'Sign-ups'!$AO$2:$AO$301,0)),93,"")</f>
        <v/>
      </c>
      <c r="B98" s="27">
        <f>IFERROR(INDEX('Sign-ups'!$AE$2:$AE$301,MATCH(93,'Sign-ups'!$AO$2:$AO$301,0)),"")</f>
        <v/>
      </c>
      <c r="C98" s="27">
        <f>IFERROR(INDEX('Sign-ups'!$AF$2:$AF$301,MATCH(93,'Sign-ups'!$AO$2:$AO$301,0)),"")</f>
        <v/>
      </c>
      <c r="D98" s="27">
        <f>IFERROR(INDEX('Sign-ups'!$AG$2:$AG$301,MATCH(93,'Sign-ups'!$AO$2:$AO$301,0)),"")</f>
        <v/>
      </c>
      <c r="E98" s="27">
        <f>IFERROR(INDEX('Sign-ups'!$AH$2:$AH$301,MATCH(93,'Sign-ups'!$AO$2:$AO$301,0)),"")</f>
        <v/>
      </c>
      <c r="F98" s="27">
        <f>IFERROR(INDEX('Sign-ups'!$AI$2:$AI$301,MATCH(93,'Sign-ups'!$AO$2:$AO$301,0)),"")</f>
        <v/>
      </c>
      <c r="G98" s="27">
        <f>IFERROR(INDEX('Sign-ups'!$AK$2:$AK$301,MATCH(93,'Sign-ups'!$AO$2:$AO$301,0)),"")</f>
        <v/>
      </c>
      <c r="H98" s="26">
        <f>IFERROR(INDEX('Sign-ups'!$AJ$2:$AJ$301,MATCH(93,'Sign-ups'!$AO$2:$AO$301,0)),"")</f>
        <v/>
      </c>
      <c r="I98" s="26">
        <f>IFERROR(INDEX('Sign-ups'!$AN$2:$AN$301,MATCH(93,'Sign-ups'!$AO$2:$AO$301,0)),"")</f>
        <v/>
      </c>
      <c r="J98" s="26">
        <f>IFERROR(INDEX('Sign-ups'!$AA$2:$AA$301,MATCH(93,'Sign-ups'!$AO$2:$AO$301,0))&amp;"","")</f>
        <v/>
      </c>
      <c r="K98" s="27">
        <f>IFERROR(INDEX('Sign-ups'!$AB$2:$AB$301,MATCH(93,'Sign-ups'!$AO$2:$AO$301,0))&amp;"","")</f>
        <v/>
      </c>
    </row>
    <row r="99">
      <c r="A99" s="26">
        <f>IF(ISNUMBER(MATCH(94,'Sign-ups'!$AO$2:$AO$301,0)),94,"")</f>
        <v/>
      </c>
      <c r="B99" s="27">
        <f>IFERROR(INDEX('Sign-ups'!$AE$2:$AE$301,MATCH(94,'Sign-ups'!$AO$2:$AO$301,0)),"")</f>
        <v/>
      </c>
      <c r="C99" s="27">
        <f>IFERROR(INDEX('Sign-ups'!$AF$2:$AF$301,MATCH(94,'Sign-ups'!$AO$2:$AO$301,0)),"")</f>
        <v/>
      </c>
      <c r="D99" s="27">
        <f>IFERROR(INDEX('Sign-ups'!$AG$2:$AG$301,MATCH(94,'Sign-ups'!$AO$2:$AO$301,0)),"")</f>
        <v/>
      </c>
      <c r="E99" s="27">
        <f>IFERROR(INDEX('Sign-ups'!$AH$2:$AH$301,MATCH(94,'Sign-ups'!$AO$2:$AO$301,0)),"")</f>
        <v/>
      </c>
      <c r="F99" s="27">
        <f>IFERROR(INDEX('Sign-ups'!$AI$2:$AI$301,MATCH(94,'Sign-ups'!$AO$2:$AO$301,0)),"")</f>
        <v/>
      </c>
      <c r="G99" s="27">
        <f>IFERROR(INDEX('Sign-ups'!$AK$2:$AK$301,MATCH(94,'Sign-ups'!$AO$2:$AO$301,0)),"")</f>
        <v/>
      </c>
      <c r="H99" s="26">
        <f>IFERROR(INDEX('Sign-ups'!$AJ$2:$AJ$301,MATCH(94,'Sign-ups'!$AO$2:$AO$301,0)),"")</f>
        <v/>
      </c>
      <c r="I99" s="26">
        <f>IFERROR(INDEX('Sign-ups'!$AN$2:$AN$301,MATCH(94,'Sign-ups'!$AO$2:$AO$301,0)),"")</f>
        <v/>
      </c>
      <c r="J99" s="26">
        <f>IFERROR(INDEX('Sign-ups'!$AA$2:$AA$301,MATCH(94,'Sign-ups'!$AO$2:$AO$301,0))&amp;"","")</f>
        <v/>
      </c>
      <c r="K99" s="27">
        <f>IFERROR(INDEX('Sign-ups'!$AB$2:$AB$301,MATCH(94,'Sign-ups'!$AO$2:$AO$301,0))&amp;"","")</f>
        <v/>
      </c>
    </row>
    <row r="100">
      <c r="A100" s="26">
        <f>IF(ISNUMBER(MATCH(95,'Sign-ups'!$AO$2:$AO$301,0)),95,"")</f>
        <v/>
      </c>
      <c r="B100" s="27">
        <f>IFERROR(INDEX('Sign-ups'!$AE$2:$AE$301,MATCH(95,'Sign-ups'!$AO$2:$AO$301,0)),"")</f>
        <v/>
      </c>
      <c r="C100" s="27">
        <f>IFERROR(INDEX('Sign-ups'!$AF$2:$AF$301,MATCH(95,'Sign-ups'!$AO$2:$AO$301,0)),"")</f>
        <v/>
      </c>
      <c r="D100" s="27">
        <f>IFERROR(INDEX('Sign-ups'!$AG$2:$AG$301,MATCH(95,'Sign-ups'!$AO$2:$AO$301,0)),"")</f>
        <v/>
      </c>
      <c r="E100" s="27">
        <f>IFERROR(INDEX('Sign-ups'!$AH$2:$AH$301,MATCH(95,'Sign-ups'!$AO$2:$AO$301,0)),"")</f>
        <v/>
      </c>
      <c r="F100" s="27">
        <f>IFERROR(INDEX('Sign-ups'!$AI$2:$AI$301,MATCH(95,'Sign-ups'!$AO$2:$AO$301,0)),"")</f>
        <v/>
      </c>
      <c r="G100" s="27">
        <f>IFERROR(INDEX('Sign-ups'!$AK$2:$AK$301,MATCH(95,'Sign-ups'!$AO$2:$AO$301,0)),"")</f>
        <v/>
      </c>
      <c r="H100" s="26">
        <f>IFERROR(INDEX('Sign-ups'!$AJ$2:$AJ$301,MATCH(95,'Sign-ups'!$AO$2:$AO$301,0)),"")</f>
        <v/>
      </c>
      <c r="I100" s="26">
        <f>IFERROR(INDEX('Sign-ups'!$AN$2:$AN$301,MATCH(95,'Sign-ups'!$AO$2:$AO$301,0)),"")</f>
        <v/>
      </c>
      <c r="J100" s="26">
        <f>IFERROR(INDEX('Sign-ups'!$AA$2:$AA$301,MATCH(95,'Sign-ups'!$AO$2:$AO$301,0))&amp;"","")</f>
        <v/>
      </c>
      <c r="K100" s="27">
        <f>IFERROR(INDEX('Sign-ups'!$AB$2:$AB$301,MATCH(95,'Sign-ups'!$AO$2:$AO$301,0))&amp;"","")</f>
        <v/>
      </c>
    </row>
    <row r="101">
      <c r="A101" s="26">
        <f>IF(ISNUMBER(MATCH(96,'Sign-ups'!$AO$2:$AO$301,0)),96,"")</f>
        <v/>
      </c>
      <c r="B101" s="27">
        <f>IFERROR(INDEX('Sign-ups'!$AE$2:$AE$301,MATCH(96,'Sign-ups'!$AO$2:$AO$301,0)),"")</f>
        <v/>
      </c>
      <c r="C101" s="27">
        <f>IFERROR(INDEX('Sign-ups'!$AF$2:$AF$301,MATCH(96,'Sign-ups'!$AO$2:$AO$301,0)),"")</f>
        <v/>
      </c>
      <c r="D101" s="27">
        <f>IFERROR(INDEX('Sign-ups'!$AG$2:$AG$301,MATCH(96,'Sign-ups'!$AO$2:$AO$301,0)),"")</f>
        <v/>
      </c>
      <c r="E101" s="27">
        <f>IFERROR(INDEX('Sign-ups'!$AH$2:$AH$301,MATCH(96,'Sign-ups'!$AO$2:$AO$301,0)),"")</f>
        <v/>
      </c>
      <c r="F101" s="27">
        <f>IFERROR(INDEX('Sign-ups'!$AI$2:$AI$301,MATCH(96,'Sign-ups'!$AO$2:$AO$301,0)),"")</f>
        <v/>
      </c>
      <c r="G101" s="27">
        <f>IFERROR(INDEX('Sign-ups'!$AK$2:$AK$301,MATCH(96,'Sign-ups'!$AO$2:$AO$301,0)),"")</f>
        <v/>
      </c>
      <c r="H101" s="26">
        <f>IFERROR(INDEX('Sign-ups'!$AJ$2:$AJ$301,MATCH(96,'Sign-ups'!$AO$2:$AO$301,0)),"")</f>
        <v/>
      </c>
      <c r="I101" s="26">
        <f>IFERROR(INDEX('Sign-ups'!$AN$2:$AN$301,MATCH(96,'Sign-ups'!$AO$2:$AO$301,0)),"")</f>
        <v/>
      </c>
      <c r="J101" s="26">
        <f>IFERROR(INDEX('Sign-ups'!$AA$2:$AA$301,MATCH(96,'Sign-ups'!$AO$2:$AO$301,0))&amp;"","")</f>
        <v/>
      </c>
      <c r="K101" s="27">
        <f>IFERROR(INDEX('Sign-ups'!$AB$2:$AB$301,MATCH(96,'Sign-ups'!$AO$2:$AO$301,0))&amp;"","")</f>
        <v/>
      </c>
    </row>
    <row r="102">
      <c r="A102" s="26">
        <f>IF(ISNUMBER(MATCH(97,'Sign-ups'!$AO$2:$AO$301,0)),97,"")</f>
        <v/>
      </c>
      <c r="B102" s="27">
        <f>IFERROR(INDEX('Sign-ups'!$AE$2:$AE$301,MATCH(97,'Sign-ups'!$AO$2:$AO$301,0)),"")</f>
        <v/>
      </c>
      <c r="C102" s="27">
        <f>IFERROR(INDEX('Sign-ups'!$AF$2:$AF$301,MATCH(97,'Sign-ups'!$AO$2:$AO$301,0)),"")</f>
        <v/>
      </c>
      <c r="D102" s="27">
        <f>IFERROR(INDEX('Sign-ups'!$AG$2:$AG$301,MATCH(97,'Sign-ups'!$AO$2:$AO$301,0)),"")</f>
        <v/>
      </c>
      <c r="E102" s="27">
        <f>IFERROR(INDEX('Sign-ups'!$AH$2:$AH$301,MATCH(97,'Sign-ups'!$AO$2:$AO$301,0)),"")</f>
        <v/>
      </c>
      <c r="F102" s="27">
        <f>IFERROR(INDEX('Sign-ups'!$AI$2:$AI$301,MATCH(97,'Sign-ups'!$AO$2:$AO$301,0)),"")</f>
        <v/>
      </c>
      <c r="G102" s="27">
        <f>IFERROR(INDEX('Sign-ups'!$AK$2:$AK$301,MATCH(97,'Sign-ups'!$AO$2:$AO$301,0)),"")</f>
        <v/>
      </c>
      <c r="H102" s="26">
        <f>IFERROR(INDEX('Sign-ups'!$AJ$2:$AJ$301,MATCH(97,'Sign-ups'!$AO$2:$AO$301,0)),"")</f>
        <v/>
      </c>
      <c r="I102" s="26">
        <f>IFERROR(INDEX('Sign-ups'!$AN$2:$AN$301,MATCH(97,'Sign-ups'!$AO$2:$AO$301,0)),"")</f>
        <v/>
      </c>
      <c r="J102" s="26">
        <f>IFERROR(INDEX('Sign-ups'!$AA$2:$AA$301,MATCH(97,'Sign-ups'!$AO$2:$AO$301,0))&amp;"","")</f>
        <v/>
      </c>
      <c r="K102" s="27">
        <f>IFERROR(INDEX('Sign-ups'!$AB$2:$AB$301,MATCH(97,'Sign-ups'!$AO$2:$AO$301,0))&amp;"","")</f>
        <v/>
      </c>
    </row>
    <row r="103">
      <c r="A103" s="26">
        <f>IF(ISNUMBER(MATCH(98,'Sign-ups'!$AO$2:$AO$301,0)),98,"")</f>
        <v/>
      </c>
      <c r="B103" s="27">
        <f>IFERROR(INDEX('Sign-ups'!$AE$2:$AE$301,MATCH(98,'Sign-ups'!$AO$2:$AO$301,0)),"")</f>
        <v/>
      </c>
      <c r="C103" s="27">
        <f>IFERROR(INDEX('Sign-ups'!$AF$2:$AF$301,MATCH(98,'Sign-ups'!$AO$2:$AO$301,0)),"")</f>
        <v/>
      </c>
      <c r="D103" s="27">
        <f>IFERROR(INDEX('Sign-ups'!$AG$2:$AG$301,MATCH(98,'Sign-ups'!$AO$2:$AO$301,0)),"")</f>
        <v/>
      </c>
      <c r="E103" s="27">
        <f>IFERROR(INDEX('Sign-ups'!$AH$2:$AH$301,MATCH(98,'Sign-ups'!$AO$2:$AO$301,0)),"")</f>
        <v/>
      </c>
      <c r="F103" s="27">
        <f>IFERROR(INDEX('Sign-ups'!$AI$2:$AI$301,MATCH(98,'Sign-ups'!$AO$2:$AO$301,0)),"")</f>
        <v/>
      </c>
      <c r="G103" s="27">
        <f>IFERROR(INDEX('Sign-ups'!$AK$2:$AK$301,MATCH(98,'Sign-ups'!$AO$2:$AO$301,0)),"")</f>
        <v/>
      </c>
      <c r="H103" s="26">
        <f>IFERROR(INDEX('Sign-ups'!$AJ$2:$AJ$301,MATCH(98,'Sign-ups'!$AO$2:$AO$301,0)),"")</f>
        <v/>
      </c>
      <c r="I103" s="26">
        <f>IFERROR(INDEX('Sign-ups'!$AN$2:$AN$301,MATCH(98,'Sign-ups'!$AO$2:$AO$301,0)),"")</f>
        <v/>
      </c>
      <c r="J103" s="26">
        <f>IFERROR(INDEX('Sign-ups'!$AA$2:$AA$301,MATCH(98,'Sign-ups'!$AO$2:$AO$301,0))&amp;"","")</f>
        <v/>
      </c>
      <c r="K103" s="27">
        <f>IFERROR(INDEX('Sign-ups'!$AB$2:$AB$301,MATCH(98,'Sign-ups'!$AO$2:$AO$301,0))&amp;"","")</f>
        <v/>
      </c>
    </row>
    <row r="104">
      <c r="A104" s="26">
        <f>IF(ISNUMBER(MATCH(99,'Sign-ups'!$AO$2:$AO$301,0)),99,"")</f>
        <v/>
      </c>
      <c r="B104" s="27">
        <f>IFERROR(INDEX('Sign-ups'!$AE$2:$AE$301,MATCH(99,'Sign-ups'!$AO$2:$AO$301,0)),"")</f>
        <v/>
      </c>
      <c r="C104" s="27">
        <f>IFERROR(INDEX('Sign-ups'!$AF$2:$AF$301,MATCH(99,'Sign-ups'!$AO$2:$AO$301,0)),"")</f>
        <v/>
      </c>
      <c r="D104" s="27">
        <f>IFERROR(INDEX('Sign-ups'!$AG$2:$AG$301,MATCH(99,'Sign-ups'!$AO$2:$AO$301,0)),"")</f>
        <v/>
      </c>
      <c r="E104" s="27">
        <f>IFERROR(INDEX('Sign-ups'!$AH$2:$AH$301,MATCH(99,'Sign-ups'!$AO$2:$AO$301,0)),"")</f>
        <v/>
      </c>
      <c r="F104" s="27">
        <f>IFERROR(INDEX('Sign-ups'!$AI$2:$AI$301,MATCH(99,'Sign-ups'!$AO$2:$AO$301,0)),"")</f>
        <v/>
      </c>
      <c r="G104" s="27">
        <f>IFERROR(INDEX('Sign-ups'!$AK$2:$AK$301,MATCH(99,'Sign-ups'!$AO$2:$AO$301,0)),"")</f>
        <v/>
      </c>
      <c r="H104" s="26">
        <f>IFERROR(INDEX('Sign-ups'!$AJ$2:$AJ$301,MATCH(99,'Sign-ups'!$AO$2:$AO$301,0)),"")</f>
        <v/>
      </c>
      <c r="I104" s="26">
        <f>IFERROR(INDEX('Sign-ups'!$AN$2:$AN$301,MATCH(99,'Sign-ups'!$AO$2:$AO$301,0)),"")</f>
        <v/>
      </c>
      <c r="J104" s="26">
        <f>IFERROR(INDEX('Sign-ups'!$AA$2:$AA$301,MATCH(99,'Sign-ups'!$AO$2:$AO$301,0))&amp;"","")</f>
        <v/>
      </c>
      <c r="K104" s="27">
        <f>IFERROR(INDEX('Sign-ups'!$AB$2:$AB$301,MATCH(99,'Sign-ups'!$AO$2:$AO$301,0))&amp;"","")</f>
        <v/>
      </c>
    </row>
    <row r="105">
      <c r="A105" s="26">
        <f>IF(ISNUMBER(MATCH(100,'Sign-ups'!$AO$2:$AO$301,0)),100,"")</f>
        <v/>
      </c>
      <c r="B105" s="27">
        <f>IFERROR(INDEX('Sign-ups'!$AE$2:$AE$301,MATCH(100,'Sign-ups'!$AO$2:$AO$301,0)),"")</f>
        <v/>
      </c>
      <c r="C105" s="27">
        <f>IFERROR(INDEX('Sign-ups'!$AF$2:$AF$301,MATCH(100,'Sign-ups'!$AO$2:$AO$301,0)),"")</f>
        <v/>
      </c>
      <c r="D105" s="27">
        <f>IFERROR(INDEX('Sign-ups'!$AG$2:$AG$301,MATCH(100,'Sign-ups'!$AO$2:$AO$301,0)),"")</f>
        <v/>
      </c>
      <c r="E105" s="27">
        <f>IFERROR(INDEX('Sign-ups'!$AH$2:$AH$301,MATCH(100,'Sign-ups'!$AO$2:$AO$301,0)),"")</f>
        <v/>
      </c>
      <c r="F105" s="27">
        <f>IFERROR(INDEX('Sign-ups'!$AI$2:$AI$301,MATCH(100,'Sign-ups'!$AO$2:$AO$301,0)),"")</f>
        <v/>
      </c>
      <c r="G105" s="27">
        <f>IFERROR(INDEX('Sign-ups'!$AK$2:$AK$301,MATCH(100,'Sign-ups'!$AO$2:$AO$301,0)),"")</f>
        <v/>
      </c>
      <c r="H105" s="26">
        <f>IFERROR(INDEX('Sign-ups'!$AJ$2:$AJ$301,MATCH(100,'Sign-ups'!$AO$2:$AO$301,0)),"")</f>
        <v/>
      </c>
      <c r="I105" s="26">
        <f>IFERROR(INDEX('Sign-ups'!$AN$2:$AN$301,MATCH(100,'Sign-ups'!$AO$2:$AO$301,0)),"")</f>
        <v/>
      </c>
      <c r="J105" s="26">
        <f>IFERROR(INDEX('Sign-ups'!$AA$2:$AA$301,MATCH(100,'Sign-ups'!$AO$2:$AO$301,0))&amp;"","")</f>
        <v/>
      </c>
      <c r="K105" s="27">
        <f>IFERROR(INDEX('Sign-ups'!$AB$2:$AB$301,MATCH(100,'Sign-ups'!$AO$2:$AO$301,0))&amp;"","")</f>
        <v/>
      </c>
    </row>
    <row r="106">
      <c r="A106" s="26">
        <f>IF(ISNUMBER(MATCH(101,'Sign-ups'!$AO$2:$AO$301,0)),101,"")</f>
        <v/>
      </c>
      <c r="B106" s="27">
        <f>IFERROR(INDEX('Sign-ups'!$AE$2:$AE$301,MATCH(101,'Sign-ups'!$AO$2:$AO$301,0)),"")</f>
        <v/>
      </c>
      <c r="C106" s="27">
        <f>IFERROR(INDEX('Sign-ups'!$AF$2:$AF$301,MATCH(101,'Sign-ups'!$AO$2:$AO$301,0)),"")</f>
        <v/>
      </c>
      <c r="D106" s="27">
        <f>IFERROR(INDEX('Sign-ups'!$AG$2:$AG$301,MATCH(101,'Sign-ups'!$AO$2:$AO$301,0)),"")</f>
        <v/>
      </c>
      <c r="E106" s="27">
        <f>IFERROR(INDEX('Sign-ups'!$AH$2:$AH$301,MATCH(101,'Sign-ups'!$AO$2:$AO$301,0)),"")</f>
        <v/>
      </c>
      <c r="F106" s="27">
        <f>IFERROR(INDEX('Sign-ups'!$AI$2:$AI$301,MATCH(101,'Sign-ups'!$AO$2:$AO$301,0)),"")</f>
        <v/>
      </c>
      <c r="G106" s="27">
        <f>IFERROR(INDEX('Sign-ups'!$AK$2:$AK$301,MATCH(101,'Sign-ups'!$AO$2:$AO$301,0)),"")</f>
        <v/>
      </c>
      <c r="H106" s="26">
        <f>IFERROR(INDEX('Sign-ups'!$AJ$2:$AJ$301,MATCH(101,'Sign-ups'!$AO$2:$AO$301,0)),"")</f>
        <v/>
      </c>
      <c r="I106" s="26">
        <f>IFERROR(INDEX('Sign-ups'!$AN$2:$AN$301,MATCH(101,'Sign-ups'!$AO$2:$AO$301,0)),"")</f>
        <v/>
      </c>
      <c r="J106" s="26">
        <f>IFERROR(INDEX('Sign-ups'!$AA$2:$AA$301,MATCH(101,'Sign-ups'!$AO$2:$AO$301,0))&amp;"","")</f>
        <v/>
      </c>
      <c r="K106" s="27">
        <f>IFERROR(INDEX('Sign-ups'!$AB$2:$AB$301,MATCH(101,'Sign-ups'!$AO$2:$AO$301,0))&amp;"","")</f>
        <v/>
      </c>
    </row>
    <row r="107">
      <c r="A107" s="26">
        <f>IF(ISNUMBER(MATCH(102,'Sign-ups'!$AO$2:$AO$301,0)),102,"")</f>
        <v/>
      </c>
      <c r="B107" s="27">
        <f>IFERROR(INDEX('Sign-ups'!$AE$2:$AE$301,MATCH(102,'Sign-ups'!$AO$2:$AO$301,0)),"")</f>
        <v/>
      </c>
      <c r="C107" s="27">
        <f>IFERROR(INDEX('Sign-ups'!$AF$2:$AF$301,MATCH(102,'Sign-ups'!$AO$2:$AO$301,0)),"")</f>
        <v/>
      </c>
      <c r="D107" s="27">
        <f>IFERROR(INDEX('Sign-ups'!$AG$2:$AG$301,MATCH(102,'Sign-ups'!$AO$2:$AO$301,0)),"")</f>
        <v/>
      </c>
      <c r="E107" s="27">
        <f>IFERROR(INDEX('Sign-ups'!$AH$2:$AH$301,MATCH(102,'Sign-ups'!$AO$2:$AO$301,0)),"")</f>
        <v/>
      </c>
      <c r="F107" s="27">
        <f>IFERROR(INDEX('Sign-ups'!$AI$2:$AI$301,MATCH(102,'Sign-ups'!$AO$2:$AO$301,0)),"")</f>
        <v/>
      </c>
      <c r="G107" s="27">
        <f>IFERROR(INDEX('Sign-ups'!$AK$2:$AK$301,MATCH(102,'Sign-ups'!$AO$2:$AO$301,0)),"")</f>
        <v/>
      </c>
      <c r="H107" s="26">
        <f>IFERROR(INDEX('Sign-ups'!$AJ$2:$AJ$301,MATCH(102,'Sign-ups'!$AO$2:$AO$301,0)),"")</f>
        <v/>
      </c>
      <c r="I107" s="26">
        <f>IFERROR(INDEX('Sign-ups'!$AN$2:$AN$301,MATCH(102,'Sign-ups'!$AO$2:$AO$301,0)),"")</f>
        <v/>
      </c>
      <c r="J107" s="26">
        <f>IFERROR(INDEX('Sign-ups'!$AA$2:$AA$301,MATCH(102,'Sign-ups'!$AO$2:$AO$301,0))&amp;"","")</f>
        <v/>
      </c>
      <c r="K107" s="27">
        <f>IFERROR(INDEX('Sign-ups'!$AB$2:$AB$301,MATCH(102,'Sign-ups'!$AO$2:$AO$301,0))&amp;"","")</f>
        <v/>
      </c>
    </row>
    <row r="108">
      <c r="A108" s="26">
        <f>IF(ISNUMBER(MATCH(103,'Sign-ups'!$AO$2:$AO$301,0)),103,"")</f>
        <v/>
      </c>
      <c r="B108" s="27">
        <f>IFERROR(INDEX('Sign-ups'!$AE$2:$AE$301,MATCH(103,'Sign-ups'!$AO$2:$AO$301,0)),"")</f>
        <v/>
      </c>
      <c r="C108" s="27">
        <f>IFERROR(INDEX('Sign-ups'!$AF$2:$AF$301,MATCH(103,'Sign-ups'!$AO$2:$AO$301,0)),"")</f>
        <v/>
      </c>
      <c r="D108" s="27">
        <f>IFERROR(INDEX('Sign-ups'!$AG$2:$AG$301,MATCH(103,'Sign-ups'!$AO$2:$AO$301,0)),"")</f>
        <v/>
      </c>
      <c r="E108" s="27">
        <f>IFERROR(INDEX('Sign-ups'!$AH$2:$AH$301,MATCH(103,'Sign-ups'!$AO$2:$AO$301,0)),"")</f>
        <v/>
      </c>
      <c r="F108" s="27">
        <f>IFERROR(INDEX('Sign-ups'!$AI$2:$AI$301,MATCH(103,'Sign-ups'!$AO$2:$AO$301,0)),"")</f>
        <v/>
      </c>
      <c r="G108" s="27">
        <f>IFERROR(INDEX('Sign-ups'!$AK$2:$AK$301,MATCH(103,'Sign-ups'!$AO$2:$AO$301,0)),"")</f>
        <v/>
      </c>
      <c r="H108" s="26">
        <f>IFERROR(INDEX('Sign-ups'!$AJ$2:$AJ$301,MATCH(103,'Sign-ups'!$AO$2:$AO$301,0)),"")</f>
        <v/>
      </c>
      <c r="I108" s="26">
        <f>IFERROR(INDEX('Sign-ups'!$AN$2:$AN$301,MATCH(103,'Sign-ups'!$AO$2:$AO$301,0)),"")</f>
        <v/>
      </c>
      <c r="J108" s="26">
        <f>IFERROR(INDEX('Sign-ups'!$AA$2:$AA$301,MATCH(103,'Sign-ups'!$AO$2:$AO$301,0))&amp;"","")</f>
        <v/>
      </c>
      <c r="K108" s="27">
        <f>IFERROR(INDEX('Sign-ups'!$AB$2:$AB$301,MATCH(103,'Sign-ups'!$AO$2:$AO$301,0))&amp;"","")</f>
        <v/>
      </c>
    </row>
    <row r="109">
      <c r="A109" s="26">
        <f>IF(ISNUMBER(MATCH(104,'Sign-ups'!$AO$2:$AO$301,0)),104,"")</f>
        <v/>
      </c>
      <c r="B109" s="27">
        <f>IFERROR(INDEX('Sign-ups'!$AE$2:$AE$301,MATCH(104,'Sign-ups'!$AO$2:$AO$301,0)),"")</f>
        <v/>
      </c>
      <c r="C109" s="27">
        <f>IFERROR(INDEX('Sign-ups'!$AF$2:$AF$301,MATCH(104,'Sign-ups'!$AO$2:$AO$301,0)),"")</f>
        <v/>
      </c>
      <c r="D109" s="27">
        <f>IFERROR(INDEX('Sign-ups'!$AG$2:$AG$301,MATCH(104,'Sign-ups'!$AO$2:$AO$301,0)),"")</f>
        <v/>
      </c>
      <c r="E109" s="27">
        <f>IFERROR(INDEX('Sign-ups'!$AH$2:$AH$301,MATCH(104,'Sign-ups'!$AO$2:$AO$301,0)),"")</f>
        <v/>
      </c>
      <c r="F109" s="27">
        <f>IFERROR(INDEX('Sign-ups'!$AI$2:$AI$301,MATCH(104,'Sign-ups'!$AO$2:$AO$301,0)),"")</f>
        <v/>
      </c>
      <c r="G109" s="27">
        <f>IFERROR(INDEX('Sign-ups'!$AK$2:$AK$301,MATCH(104,'Sign-ups'!$AO$2:$AO$301,0)),"")</f>
        <v/>
      </c>
      <c r="H109" s="26">
        <f>IFERROR(INDEX('Sign-ups'!$AJ$2:$AJ$301,MATCH(104,'Sign-ups'!$AO$2:$AO$301,0)),"")</f>
        <v/>
      </c>
      <c r="I109" s="26">
        <f>IFERROR(INDEX('Sign-ups'!$AN$2:$AN$301,MATCH(104,'Sign-ups'!$AO$2:$AO$301,0)),"")</f>
        <v/>
      </c>
      <c r="J109" s="26">
        <f>IFERROR(INDEX('Sign-ups'!$AA$2:$AA$301,MATCH(104,'Sign-ups'!$AO$2:$AO$301,0))&amp;"","")</f>
        <v/>
      </c>
      <c r="K109" s="27">
        <f>IFERROR(INDEX('Sign-ups'!$AB$2:$AB$301,MATCH(104,'Sign-ups'!$AO$2:$AO$301,0))&amp;"","")</f>
        <v/>
      </c>
    </row>
    <row r="110">
      <c r="A110" s="26">
        <f>IF(ISNUMBER(MATCH(105,'Sign-ups'!$AO$2:$AO$301,0)),105,"")</f>
        <v/>
      </c>
      <c r="B110" s="27">
        <f>IFERROR(INDEX('Sign-ups'!$AE$2:$AE$301,MATCH(105,'Sign-ups'!$AO$2:$AO$301,0)),"")</f>
        <v/>
      </c>
      <c r="C110" s="27">
        <f>IFERROR(INDEX('Sign-ups'!$AF$2:$AF$301,MATCH(105,'Sign-ups'!$AO$2:$AO$301,0)),"")</f>
        <v/>
      </c>
      <c r="D110" s="27">
        <f>IFERROR(INDEX('Sign-ups'!$AG$2:$AG$301,MATCH(105,'Sign-ups'!$AO$2:$AO$301,0)),"")</f>
        <v/>
      </c>
      <c r="E110" s="27">
        <f>IFERROR(INDEX('Sign-ups'!$AH$2:$AH$301,MATCH(105,'Sign-ups'!$AO$2:$AO$301,0)),"")</f>
        <v/>
      </c>
      <c r="F110" s="27">
        <f>IFERROR(INDEX('Sign-ups'!$AI$2:$AI$301,MATCH(105,'Sign-ups'!$AO$2:$AO$301,0)),"")</f>
        <v/>
      </c>
      <c r="G110" s="27">
        <f>IFERROR(INDEX('Sign-ups'!$AK$2:$AK$301,MATCH(105,'Sign-ups'!$AO$2:$AO$301,0)),"")</f>
        <v/>
      </c>
      <c r="H110" s="26">
        <f>IFERROR(INDEX('Sign-ups'!$AJ$2:$AJ$301,MATCH(105,'Sign-ups'!$AO$2:$AO$301,0)),"")</f>
        <v/>
      </c>
      <c r="I110" s="26">
        <f>IFERROR(INDEX('Sign-ups'!$AN$2:$AN$301,MATCH(105,'Sign-ups'!$AO$2:$AO$301,0)),"")</f>
        <v/>
      </c>
      <c r="J110" s="26">
        <f>IFERROR(INDEX('Sign-ups'!$AA$2:$AA$301,MATCH(105,'Sign-ups'!$AO$2:$AO$301,0))&amp;"","")</f>
        <v/>
      </c>
      <c r="K110" s="27">
        <f>IFERROR(INDEX('Sign-ups'!$AB$2:$AB$301,MATCH(105,'Sign-ups'!$AO$2:$AO$301,0))&amp;"","")</f>
        <v/>
      </c>
    </row>
    <row r="111">
      <c r="A111" s="26">
        <f>IF(ISNUMBER(MATCH(106,'Sign-ups'!$AO$2:$AO$301,0)),106,"")</f>
        <v/>
      </c>
      <c r="B111" s="27">
        <f>IFERROR(INDEX('Sign-ups'!$AE$2:$AE$301,MATCH(106,'Sign-ups'!$AO$2:$AO$301,0)),"")</f>
        <v/>
      </c>
      <c r="C111" s="27">
        <f>IFERROR(INDEX('Sign-ups'!$AF$2:$AF$301,MATCH(106,'Sign-ups'!$AO$2:$AO$301,0)),"")</f>
        <v/>
      </c>
      <c r="D111" s="27">
        <f>IFERROR(INDEX('Sign-ups'!$AG$2:$AG$301,MATCH(106,'Sign-ups'!$AO$2:$AO$301,0)),"")</f>
        <v/>
      </c>
      <c r="E111" s="27">
        <f>IFERROR(INDEX('Sign-ups'!$AH$2:$AH$301,MATCH(106,'Sign-ups'!$AO$2:$AO$301,0)),"")</f>
        <v/>
      </c>
      <c r="F111" s="27">
        <f>IFERROR(INDEX('Sign-ups'!$AI$2:$AI$301,MATCH(106,'Sign-ups'!$AO$2:$AO$301,0)),"")</f>
        <v/>
      </c>
      <c r="G111" s="27">
        <f>IFERROR(INDEX('Sign-ups'!$AK$2:$AK$301,MATCH(106,'Sign-ups'!$AO$2:$AO$301,0)),"")</f>
        <v/>
      </c>
      <c r="H111" s="26">
        <f>IFERROR(INDEX('Sign-ups'!$AJ$2:$AJ$301,MATCH(106,'Sign-ups'!$AO$2:$AO$301,0)),"")</f>
        <v/>
      </c>
      <c r="I111" s="26">
        <f>IFERROR(INDEX('Sign-ups'!$AN$2:$AN$301,MATCH(106,'Sign-ups'!$AO$2:$AO$301,0)),"")</f>
        <v/>
      </c>
      <c r="J111" s="26">
        <f>IFERROR(INDEX('Sign-ups'!$AA$2:$AA$301,MATCH(106,'Sign-ups'!$AO$2:$AO$301,0))&amp;"","")</f>
        <v/>
      </c>
      <c r="K111" s="27">
        <f>IFERROR(INDEX('Sign-ups'!$AB$2:$AB$301,MATCH(106,'Sign-ups'!$AO$2:$AO$301,0))&amp;"","")</f>
        <v/>
      </c>
    </row>
    <row r="112">
      <c r="A112" s="26">
        <f>IF(ISNUMBER(MATCH(107,'Sign-ups'!$AO$2:$AO$301,0)),107,"")</f>
        <v/>
      </c>
      <c r="B112" s="27">
        <f>IFERROR(INDEX('Sign-ups'!$AE$2:$AE$301,MATCH(107,'Sign-ups'!$AO$2:$AO$301,0)),"")</f>
        <v/>
      </c>
      <c r="C112" s="27">
        <f>IFERROR(INDEX('Sign-ups'!$AF$2:$AF$301,MATCH(107,'Sign-ups'!$AO$2:$AO$301,0)),"")</f>
        <v/>
      </c>
      <c r="D112" s="27">
        <f>IFERROR(INDEX('Sign-ups'!$AG$2:$AG$301,MATCH(107,'Sign-ups'!$AO$2:$AO$301,0)),"")</f>
        <v/>
      </c>
      <c r="E112" s="27">
        <f>IFERROR(INDEX('Sign-ups'!$AH$2:$AH$301,MATCH(107,'Sign-ups'!$AO$2:$AO$301,0)),"")</f>
        <v/>
      </c>
      <c r="F112" s="27">
        <f>IFERROR(INDEX('Sign-ups'!$AI$2:$AI$301,MATCH(107,'Sign-ups'!$AO$2:$AO$301,0)),"")</f>
        <v/>
      </c>
      <c r="G112" s="27">
        <f>IFERROR(INDEX('Sign-ups'!$AK$2:$AK$301,MATCH(107,'Sign-ups'!$AO$2:$AO$301,0)),"")</f>
        <v/>
      </c>
      <c r="H112" s="26">
        <f>IFERROR(INDEX('Sign-ups'!$AJ$2:$AJ$301,MATCH(107,'Sign-ups'!$AO$2:$AO$301,0)),"")</f>
        <v/>
      </c>
      <c r="I112" s="26">
        <f>IFERROR(INDEX('Sign-ups'!$AN$2:$AN$301,MATCH(107,'Sign-ups'!$AO$2:$AO$301,0)),"")</f>
        <v/>
      </c>
      <c r="J112" s="26">
        <f>IFERROR(INDEX('Sign-ups'!$AA$2:$AA$301,MATCH(107,'Sign-ups'!$AO$2:$AO$301,0))&amp;"","")</f>
        <v/>
      </c>
      <c r="K112" s="27">
        <f>IFERROR(INDEX('Sign-ups'!$AB$2:$AB$301,MATCH(107,'Sign-ups'!$AO$2:$AO$301,0))&amp;"","")</f>
        <v/>
      </c>
    </row>
    <row r="113">
      <c r="A113" s="26">
        <f>IF(ISNUMBER(MATCH(108,'Sign-ups'!$AO$2:$AO$301,0)),108,"")</f>
        <v/>
      </c>
      <c r="B113" s="27">
        <f>IFERROR(INDEX('Sign-ups'!$AE$2:$AE$301,MATCH(108,'Sign-ups'!$AO$2:$AO$301,0)),"")</f>
        <v/>
      </c>
      <c r="C113" s="27">
        <f>IFERROR(INDEX('Sign-ups'!$AF$2:$AF$301,MATCH(108,'Sign-ups'!$AO$2:$AO$301,0)),"")</f>
        <v/>
      </c>
      <c r="D113" s="27">
        <f>IFERROR(INDEX('Sign-ups'!$AG$2:$AG$301,MATCH(108,'Sign-ups'!$AO$2:$AO$301,0)),"")</f>
        <v/>
      </c>
      <c r="E113" s="27">
        <f>IFERROR(INDEX('Sign-ups'!$AH$2:$AH$301,MATCH(108,'Sign-ups'!$AO$2:$AO$301,0)),"")</f>
        <v/>
      </c>
      <c r="F113" s="27">
        <f>IFERROR(INDEX('Sign-ups'!$AI$2:$AI$301,MATCH(108,'Sign-ups'!$AO$2:$AO$301,0)),"")</f>
        <v/>
      </c>
      <c r="G113" s="27">
        <f>IFERROR(INDEX('Sign-ups'!$AK$2:$AK$301,MATCH(108,'Sign-ups'!$AO$2:$AO$301,0)),"")</f>
        <v/>
      </c>
      <c r="H113" s="26">
        <f>IFERROR(INDEX('Sign-ups'!$AJ$2:$AJ$301,MATCH(108,'Sign-ups'!$AO$2:$AO$301,0)),"")</f>
        <v/>
      </c>
      <c r="I113" s="26">
        <f>IFERROR(INDEX('Sign-ups'!$AN$2:$AN$301,MATCH(108,'Sign-ups'!$AO$2:$AO$301,0)),"")</f>
        <v/>
      </c>
      <c r="J113" s="26">
        <f>IFERROR(INDEX('Sign-ups'!$AA$2:$AA$301,MATCH(108,'Sign-ups'!$AO$2:$AO$301,0))&amp;"","")</f>
        <v/>
      </c>
      <c r="K113" s="27">
        <f>IFERROR(INDEX('Sign-ups'!$AB$2:$AB$301,MATCH(108,'Sign-ups'!$AO$2:$AO$301,0))&amp;"","")</f>
        <v/>
      </c>
    </row>
    <row r="114">
      <c r="A114" s="26">
        <f>IF(ISNUMBER(MATCH(109,'Sign-ups'!$AO$2:$AO$301,0)),109,"")</f>
        <v/>
      </c>
      <c r="B114" s="27">
        <f>IFERROR(INDEX('Sign-ups'!$AE$2:$AE$301,MATCH(109,'Sign-ups'!$AO$2:$AO$301,0)),"")</f>
        <v/>
      </c>
      <c r="C114" s="27">
        <f>IFERROR(INDEX('Sign-ups'!$AF$2:$AF$301,MATCH(109,'Sign-ups'!$AO$2:$AO$301,0)),"")</f>
        <v/>
      </c>
      <c r="D114" s="27">
        <f>IFERROR(INDEX('Sign-ups'!$AG$2:$AG$301,MATCH(109,'Sign-ups'!$AO$2:$AO$301,0)),"")</f>
        <v/>
      </c>
      <c r="E114" s="27">
        <f>IFERROR(INDEX('Sign-ups'!$AH$2:$AH$301,MATCH(109,'Sign-ups'!$AO$2:$AO$301,0)),"")</f>
        <v/>
      </c>
      <c r="F114" s="27">
        <f>IFERROR(INDEX('Sign-ups'!$AI$2:$AI$301,MATCH(109,'Sign-ups'!$AO$2:$AO$301,0)),"")</f>
        <v/>
      </c>
      <c r="G114" s="27">
        <f>IFERROR(INDEX('Sign-ups'!$AK$2:$AK$301,MATCH(109,'Sign-ups'!$AO$2:$AO$301,0)),"")</f>
        <v/>
      </c>
      <c r="H114" s="26">
        <f>IFERROR(INDEX('Sign-ups'!$AJ$2:$AJ$301,MATCH(109,'Sign-ups'!$AO$2:$AO$301,0)),"")</f>
        <v/>
      </c>
      <c r="I114" s="26">
        <f>IFERROR(INDEX('Sign-ups'!$AN$2:$AN$301,MATCH(109,'Sign-ups'!$AO$2:$AO$301,0)),"")</f>
        <v/>
      </c>
      <c r="J114" s="26">
        <f>IFERROR(INDEX('Sign-ups'!$AA$2:$AA$301,MATCH(109,'Sign-ups'!$AO$2:$AO$301,0))&amp;"","")</f>
        <v/>
      </c>
      <c r="K114" s="27">
        <f>IFERROR(INDEX('Sign-ups'!$AB$2:$AB$301,MATCH(109,'Sign-ups'!$AO$2:$AO$301,0))&amp;"","")</f>
        <v/>
      </c>
    </row>
    <row r="115">
      <c r="A115" s="26">
        <f>IF(ISNUMBER(MATCH(110,'Sign-ups'!$AO$2:$AO$301,0)),110,"")</f>
        <v/>
      </c>
      <c r="B115" s="27">
        <f>IFERROR(INDEX('Sign-ups'!$AE$2:$AE$301,MATCH(110,'Sign-ups'!$AO$2:$AO$301,0)),"")</f>
        <v/>
      </c>
      <c r="C115" s="27">
        <f>IFERROR(INDEX('Sign-ups'!$AF$2:$AF$301,MATCH(110,'Sign-ups'!$AO$2:$AO$301,0)),"")</f>
        <v/>
      </c>
      <c r="D115" s="27">
        <f>IFERROR(INDEX('Sign-ups'!$AG$2:$AG$301,MATCH(110,'Sign-ups'!$AO$2:$AO$301,0)),"")</f>
        <v/>
      </c>
      <c r="E115" s="27">
        <f>IFERROR(INDEX('Sign-ups'!$AH$2:$AH$301,MATCH(110,'Sign-ups'!$AO$2:$AO$301,0)),"")</f>
        <v/>
      </c>
      <c r="F115" s="27">
        <f>IFERROR(INDEX('Sign-ups'!$AI$2:$AI$301,MATCH(110,'Sign-ups'!$AO$2:$AO$301,0)),"")</f>
        <v/>
      </c>
      <c r="G115" s="27">
        <f>IFERROR(INDEX('Sign-ups'!$AK$2:$AK$301,MATCH(110,'Sign-ups'!$AO$2:$AO$301,0)),"")</f>
        <v/>
      </c>
      <c r="H115" s="26">
        <f>IFERROR(INDEX('Sign-ups'!$AJ$2:$AJ$301,MATCH(110,'Sign-ups'!$AO$2:$AO$301,0)),"")</f>
        <v/>
      </c>
      <c r="I115" s="26">
        <f>IFERROR(INDEX('Sign-ups'!$AN$2:$AN$301,MATCH(110,'Sign-ups'!$AO$2:$AO$301,0)),"")</f>
        <v/>
      </c>
      <c r="J115" s="26">
        <f>IFERROR(INDEX('Sign-ups'!$AA$2:$AA$301,MATCH(110,'Sign-ups'!$AO$2:$AO$301,0))&amp;"","")</f>
        <v/>
      </c>
      <c r="K115" s="27">
        <f>IFERROR(INDEX('Sign-ups'!$AB$2:$AB$301,MATCH(110,'Sign-ups'!$AO$2:$AO$301,0))&amp;"","")</f>
        <v/>
      </c>
    </row>
    <row r="116">
      <c r="A116" s="26">
        <f>IF(ISNUMBER(MATCH(111,'Sign-ups'!$AO$2:$AO$301,0)),111,"")</f>
        <v/>
      </c>
      <c r="B116" s="27">
        <f>IFERROR(INDEX('Sign-ups'!$AE$2:$AE$301,MATCH(111,'Sign-ups'!$AO$2:$AO$301,0)),"")</f>
        <v/>
      </c>
      <c r="C116" s="27">
        <f>IFERROR(INDEX('Sign-ups'!$AF$2:$AF$301,MATCH(111,'Sign-ups'!$AO$2:$AO$301,0)),"")</f>
        <v/>
      </c>
      <c r="D116" s="27">
        <f>IFERROR(INDEX('Sign-ups'!$AG$2:$AG$301,MATCH(111,'Sign-ups'!$AO$2:$AO$301,0)),"")</f>
        <v/>
      </c>
      <c r="E116" s="27">
        <f>IFERROR(INDEX('Sign-ups'!$AH$2:$AH$301,MATCH(111,'Sign-ups'!$AO$2:$AO$301,0)),"")</f>
        <v/>
      </c>
      <c r="F116" s="27">
        <f>IFERROR(INDEX('Sign-ups'!$AI$2:$AI$301,MATCH(111,'Sign-ups'!$AO$2:$AO$301,0)),"")</f>
        <v/>
      </c>
      <c r="G116" s="27">
        <f>IFERROR(INDEX('Sign-ups'!$AK$2:$AK$301,MATCH(111,'Sign-ups'!$AO$2:$AO$301,0)),"")</f>
        <v/>
      </c>
      <c r="H116" s="26">
        <f>IFERROR(INDEX('Sign-ups'!$AJ$2:$AJ$301,MATCH(111,'Sign-ups'!$AO$2:$AO$301,0)),"")</f>
        <v/>
      </c>
      <c r="I116" s="26">
        <f>IFERROR(INDEX('Sign-ups'!$AN$2:$AN$301,MATCH(111,'Sign-ups'!$AO$2:$AO$301,0)),"")</f>
        <v/>
      </c>
      <c r="J116" s="26">
        <f>IFERROR(INDEX('Sign-ups'!$AA$2:$AA$301,MATCH(111,'Sign-ups'!$AO$2:$AO$301,0))&amp;"","")</f>
        <v/>
      </c>
      <c r="K116" s="27">
        <f>IFERROR(INDEX('Sign-ups'!$AB$2:$AB$301,MATCH(111,'Sign-ups'!$AO$2:$AO$301,0))&amp;"","")</f>
        <v/>
      </c>
    </row>
    <row r="117">
      <c r="A117" s="26">
        <f>IF(ISNUMBER(MATCH(112,'Sign-ups'!$AO$2:$AO$301,0)),112,"")</f>
        <v/>
      </c>
      <c r="B117" s="27">
        <f>IFERROR(INDEX('Sign-ups'!$AE$2:$AE$301,MATCH(112,'Sign-ups'!$AO$2:$AO$301,0)),"")</f>
        <v/>
      </c>
      <c r="C117" s="27">
        <f>IFERROR(INDEX('Sign-ups'!$AF$2:$AF$301,MATCH(112,'Sign-ups'!$AO$2:$AO$301,0)),"")</f>
        <v/>
      </c>
      <c r="D117" s="27">
        <f>IFERROR(INDEX('Sign-ups'!$AG$2:$AG$301,MATCH(112,'Sign-ups'!$AO$2:$AO$301,0)),"")</f>
        <v/>
      </c>
      <c r="E117" s="27">
        <f>IFERROR(INDEX('Sign-ups'!$AH$2:$AH$301,MATCH(112,'Sign-ups'!$AO$2:$AO$301,0)),"")</f>
        <v/>
      </c>
      <c r="F117" s="27">
        <f>IFERROR(INDEX('Sign-ups'!$AI$2:$AI$301,MATCH(112,'Sign-ups'!$AO$2:$AO$301,0)),"")</f>
        <v/>
      </c>
      <c r="G117" s="27">
        <f>IFERROR(INDEX('Sign-ups'!$AK$2:$AK$301,MATCH(112,'Sign-ups'!$AO$2:$AO$301,0)),"")</f>
        <v/>
      </c>
      <c r="H117" s="26">
        <f>IFERROR(INDEX('Sign-ups'!$AJ$2:$AJ$301,MATCH(112,'Sign-ups'!$AO$2:$AO$301,0)),"")</f>
        <v/>
      </c>
      <c r="I117" s="26">
        <f>IFERROR(INDEX('Sign-ups'!$AN$2:$AN$301,MATCH(112,'Sign-ups'!$AO$2:$AO$301,0)),"")</f>
        <v/>
      </c>
      <c r="J117" s="26">
        <f>IFERROR(INDEX('Sign-ups'!$AA$2:$AA$301,MATCH(112,'Sign-ups'!$AO$2:$AO$301,0))&amp;"","")</f>
        <v/>
      </c>
      <c r="K117" s="27">
        <f>IFERROR(INDEX('Sign-ups'!$AB$2:$AB$301,MATCH(112,'Sign-ups'!$AO$2:$AO$301,0))&amp;"","")</f>
        <v/>
      </c>
    </row>
    <row r="118">
      <c r="A118" s="26">
        <f>IF(ISNUMBER(MATCH(113,'Sign-ups'!$AO$2:$AO$301,0)),113,"")</f>
        <v/>
      </c>
      <c r="B118" s="27">
        <f>IFERROR(INDEX('Sign-ups'!$AE$2:$AE$301,MATCH(113,'Sign-ups'!$AO$2:$AO$301,0)),"")</f>
        <v/>
      </c>
      <c r="C118" s="27">
        <f>IFERROR(INDEX('Sign-ups'!$AF$2:$AF$301,MATCH(113,'Sign-ups'!$AO$2:$AO$301,0)),"")</f>
        <v/>
      </c>
      <c r="D118" s="27">
        <f>IFERROR(INDEX('Sign-ups'!$AG$2:$AG$301,MATCH(113,'Sign-ups'!$AO$2:$AO$301,0)),"")</f>
        <v/>
      </c>
      <c r="E118" s="27">
        <f>IFERROR(INDEX('Sign-ups'!$AH$2:$AH$301,MATCH(113,'Sign-ups'!$AO$2:$AO$301,0)),"")</f>
        <v/>
      </c>
      <c r="F118" s="27">
        <f>IFERROR(INDEX('Sign-ups'!$AI$2:$AI$301,MATCH(113,'Sign-ups'!$AO$2:$AO$301,0)),"")</f>
        <v/>
      </c>
      <c r="G118" s="27">
        <f>IFERROR(INDEX('Sign-ups'!$AK$2:$AK$301,MATCH(113,'Sign-ups'!$AO$2:$AO$301,0)),"")</f>
        <v/>
      </c>
      <c r="H118" s="26">
        <f>IFERROR(INDEX('Sign-ups'!$AJ$2:$AJ$301,MATCH(113,'Sign-ups'!$AO$2:$AO$301,0)),"")</f>
        <v/>
      </c>
      <c r="I118" s="26">
        <f>IFERROR(INDEX('Sign-ups'!$AN$2:$AN$301,MATCH(113,'Sign-ups'!$AO$2:$AO$301,0)),"")</f>
        <v/>
      </c>
      <c r="J118" s="26">
        <f>IFERROR(INDEX('Sign-ups'!$AA$2:$AA$301,MATCH(113,'Sign-ups'!$AO$2:$AO$301,0))&amp;"","")</f>
        <v/>
      </c>
      <c r="K118" s="27">
        <f>IFERROR(INDEX('Sign-ups'!$AB$2:$AB$301,MATCH(113,'Sign-ups'!$AO$2:$AO$301,0))&amp;"","")</f>
        <v/>
      </c>
    </row>
    <row r="119">
      <c r="A119" s="26">
        <f>IF(ISNUMBER(MATCH(114,'Sign-ups'!$AO$2:$AO$301,0)),114,"")</f>
        <v/>
      </c>
      <c r="B119" s="27">
        <f>IFERROR(INDEX('Sign-ups'!$AE$2:$AE$301,MATCH(114,'Sign-ups'!$AO$2:$AO$301,0)),"")</f>
        <v/>
      </c>
      <c r="C119" s="27">
        <f>IFERROR(INDEX('Sign-ups'!$AF$2:$AF$301,MATCH(114,'Sign-ups'!$AO$2:$AO$301,0)),"")</f>
        <v/>
      </c>
      <c r="D119" s="27">
        <f>IFERROR(INDEX('Sign-ups'!$AG$2:$AG$301,MATCH(114,'Sign-ups'!$AO$2:$AO$301,0)),"")</f>
        <v/>
      </c>
      <c r="E119" s="27">
        <f>IFERROR(INDEX('Sign-ups'!$AH$2:$AH$301,MATCH(114,'Sign-ups'!$AO$2:$AO$301,0)),"")</f>
        <v/>
      </c>
      <c r="F119" s="27">
        <f>IFERROR(INDEX('Sign-ups'!$AI$2:$AI$301,MATCH(114,'Sign-ups'!$AO$2:$AO$301,0)),"")</f>
        <v/>
      </c>
      <c r="G119" s="27">
        <f>IFERROR(INDEX('Sign-ups'!$AK$2:$AK$301,MATCH(114,'Sign-ups'!$AO$2:$AO$301,0)),"")</f>
        <v/>
      </c>
      <c r="H119" s="26">
        <f>IFERROR(INDEX('Sign-ups'!$AJ$2:$AJ$301,MATCH(114,'Sign-ups'!$AO$2:$AO$301,0)),"")</f>
        <v/>
      </c>
      <c r="I119" s="26">
        <f>IFERROR(INDEX('Sign-ups'!$AN$2:$AN$301,MATCH(114,'Sign-ups'!$AO$2:$AO$301,0)),"")</f>
        <v/>
      </c>
      <c r="J119" s="26">
        <f>IFERROR(INDEX('Sign-ups'!$AA$2:$AA$301,MATCH(114,'Sign-ups'!$AO$2:$AO$301,0))&amp;"","")</f>
        <v/>
      </c>
      <c r="K119" s="27">
        <f>IFERROR(INDEX('Sign-ups'!$AB$2:$AB$301,MATCH(114,'Sign-ups'!$AO$2:$AO$301,0))&amp;"","")</f>
        <v/>
      </c>
    </row>
    <row r="120">
      <c r="A120" s="26">
        <f>IF(ISNUMBER(MATCH(115,'Sign-ups'!$AO$2:$AO$301,0)),115,"")</f>
        <v/>
      </c>
      <c r="B120" s="27">
        <f>IFERROR(INDEX('Sign-ups'!$AE$2:$AE$301,MATCH(115,'Sign-ups'!$AO$2:$AO$301,0)),"")</f>
        <v/>
      </c>
      <c r="C120" s="27">
        <f>IFERROR(INDEX('Sign-ups'!$AF$2:$AF$301,MATCH(115,'Sign-ups'!$AO$2:$AO$301,0)),"")</f>
        <v/>
      </c>
      <c r="D120" s="27">
        <f>IFERROR(INDEX('Sign-ups'!$AG$2:$AG$301,MATCH(115,'Sign-ups'!$AO$2:$AO$301,0)),"")</f>
        <v/>
      </c>
      <c r="E120" s="27">
        <f>IFERROR(INDEX('Sign-ups'!$AH$2:$AH$301,MATCH(115,'Sign-ups'!$AO$2:$AO$301,0)),"")</f>
        <v/>
      </c>
      <c r="F120" s="27">
        <f>IFERROR(INDEX('Sign-ups'!$AI$2:$AI$301,MATCH(115,'Sign-ups'!$AO$2:$AO$301,0)),"")</f>
        <v/>
      </c>
      <c r="G120" s="27">
        <f>IFERROR(INDEX('Sign-ups'!$AK$2:$AK$301,MATCH(115,'Sign-ups'!$AO$2:$AO$301,0)),"")</f>
        <v/>
      </c>
      <c r="H120" s="26">
        <f>IFERROR(INDEX('Sign-ups'!$AJ$2:$AJ$301,MATCH(115,'Sign-ups'!$AO$2:$AO$301,0)),"")</f>
        <v/>
      </c>
      <c r="I120" s="26">
        <f>IFERROR(INDEX('Sign-ups'!$AN$2:$AN$301,MATCH(115,'Sign-ups'!$AO$2:$AO$301,0)),"")</f>
        <v/>
      </c>
      <c r="J120" s="26">
        <f>IFERROR(INDEX('Sign-ups'!$AA$2:$AA$301,MATCH(115,'Sign-ups'!$AO$2:$AO$301,0))&amp;"","")</f>
        <v/>
      </c>
      <c r="K120" s="27">
        <f>IFERROR(INDEX('Sign-ups'!$AB$2:$AB$301,MATCH(115,'Sign-ups'!$AO$2:$AO$301,0))&amp;"","")</f>
        <v/>
      </c>
    </row>
    <row r="121">
      <c r="A121" s="26">
        <f>IF(ISNUMBER(MATCH(116,'Sign-ups'!$AO$2:$AO$301,0)),116,"")</f>
        <v/>
      </c>
      <c r="B121" s="27">
        <f>IFERROR(INDEX('Sign-ups'!$AE$2:$AE$301,MATCH(116,'Sign-ups'!$AO$2:$AO$301,0)),"")</f>
        <v/>
      </c>
      <c r="C121" s="27">
        <f>IFERROR(INDEX('Sign-ups'!$AF$2:$AF$301,MATCH(116,'Sign-ups'!$AO$2:$AO$301,0)),"")</f>
        <v/>
      </c>
      <c r="D121" s="27">
        <f>IFERROR(INDEX('Sign-ups'!$AG$2:$AG$301,MATCH(116,'Sign-ups'!$AO$2:$AO$301,0)),"")</f>
        <v/>
      </c>
      <c r="E121" s="27">
        <f>IFERROR(INDEX('Sign-ups'!$AH$2:$AH$301,MATCH(116,'Sign-ups'!$AO$2:$AO$301,0)),"")</f>
        <v/>
      </c>
      <c r="F121" s="27">
        <f>IFERROR(INDEX('Sign-ups'!$AI$2:$AI$301,MATCH(116,'Sign-ups'!$AO$2:$AO$301,0)),"")</f>
        <v/>
      </c>
      <c r="G121" s="27">
        <f>IFERROR(INDEX('Sign-ups'!$AK$2:$AK$301,MATCH(116,'Sign-ups'!$AO$2:$AO$301,0)),"")</f>
        <v/>
      </c>
      <c r="H121" s="26">
        <f>IFERROR(INDEX('Sign-ups'!$AJ$2:$AJ$301,MATCH(116,'Sign-ups'!$AO$2:$AO$301,0)),"")</f>
        <v/>
      </c>
      <c r="I121" s="26">
        <f>IFERROR(INDEX('Sign-ups'!$AN$2:$AN$301,MATCH(116,'Sign-ups'!$AO$2:$AO$301,0)),"")</f>
        <v/>
      </c>
      <c r="J121" s="26">
        <f>IFERROR(INDEX('Sign-ups'!$AA$2:$AA$301,MATCH(116,'Sign-ups'!$AO$2:$AO$301,0))&amp;"","")</f>
        <v/>
      </c>
      <c r="K121" s="27">
        <f>IFERROR(INDEX('Sign-ups'!$AB$2:$AB$301,MATCH(116,'Sign-ups'!$AO$2:$AO$301,0))&amp;"","")</f>
        <v/>
      </c>
    </row>
    <row r="122">
      <c r="A122" s="26">
        <f>IF(ISNUMBER(MATCH(117,'Sign-ups'!$AO$2:$AO$301,0)),117,"")</f>
        <v/>
      </c>
      <c r="B122" s="27">
        <f>IFERROR(INDEX('Sign-ups'!$AE$2:$AE$301,MATCH(117,'Sign-ups'!$AO$2:$AO$301,0)),"")</f>
        <v/>
      </c>
      <c r="C122" s="27">
        <f>IFERROR(INDEX('Sign-ups'!$AF$2:$AF$301,MATCH(117,'Sign-ups'!$AO$2:$AO$301,0)),"")</f>
        <v/>
      </c>
      <c r="D122" s="27">
        <f>IFERROR(INDEX('Sign-ups'!$AG$2:$AG$301,MATCH(117,'Sign-ups'!$AO$2:$AO$301,0)),"")</f>
        <v/>
      </c>
      <c r="E122" s="27">
        <f>IFERROR(INDEX('Sign-ups'!$AH$2:$AH$301,MATCH(117,'Sign-ups'!$AO$2:$AO$301,0)),"")</f>
        <v/>
      </c>
      <c r="F122" s="27">
        <f>IFERROR(INDEX('Sign-ups'!$AI$2:$AI$301,MATCH(117,'Sign-ups'!$AO$2:$AO$301,0)),"")</f>
        <v/>
      </c>
      <c r="G122" s="27">
        <f>IFERROR(INDEX('Sign-ups'!$AK$2:$AK$301,MATCH(117,'Sign-ups'!$AO$2:$AO$301,0)),"")</f>
        <v/>
      </c>
      <c r="H122" s="26">
        <f>IFERROR(INDEX('Sign-ups'!$AJ$2:$AJ$301,MATCH(117,'Sign-ups'!$AO$2:$AO$301,0)),"")</f>
        <v/>
      </c>
      <c r="I122" s="26">
        <f>IFERROR(INDEX('Sign-ups'!$AN$2:$AN$301,MATCH(117,'Sign-ups'!$AO$2:$AO$301,0)),"")</f>
        <v/>
      </c>
      <c r="J122" s="26">
        <f>IFERROR(INDEX('Sign-ups'!$AA$2:$AA$301,MATCH(117,'Sign-ups'!$AO$2:$AO$301,0))&amp;"","")</f>
        <v/>
      </c>
      <c r="K122" s="27">
        <f>IFERROR(INDEX('Sign-ups'!$AB$2:$AB$301,MATCH(117,'Sign-ups'!$AO$2:$AO$301,0))&amp;"","")</f>
        <v/>
      </c>
    </row>
    <row r="123">
      <c r="A123" s="26">
        <f>IF(ISNUMBER(MATCH(118,'Sign-ups'!$AO$2:$AO$301,0)),118,"")</f>
        <v/>
      </c>
      <c r="B123" s="27">
        <f>IFERROR(INDEX('Sign-ups'!$AE$2:$AE$301,MATCH(118,'Sign-ups'!$AO$2:$AO$301,0)),"")</f>
        <v/>
      </c>
      <c r="C123" s="27">
        <f>IFERROR(INDEX('Sign-ups'!$AF$2:$AF$301,MATCH(118,'Sign-ups'!$AO$2:$AO$301,0)),"")</f>
        <v/>
      </c>
      <c r="D123" s="27">
        <f>IFERROR(INDEX('Sign-ups'!$AG$2:$AG$301,MATCH(118,'Sign-ups'!$AO$2:$AO$301,0)),"")</f>
        <v/>
      </c>
      <c r="E123" s="27">
        <f>IFERROR(INDEX('Sign-ups'!$AH$2:$AH$301,MATCH(118,'Sign-ups'!$AO$2:$AO$301,0)),"")</f>
        <v/>
      </c>
      <c r="F123" s="27">
        <f>IFERROR(INDEX('Sign-ups'!$AI$2:$AI$301,MATCH(118,'Sign-ups'!$AO$2:$AO$301,0)),"")</f>
        <v/>
      </c>
      <c r="G123" s="27">
        <f>IFERROR(INDEX('Sign-ups'!$AK$2:$AK$301,MATCH(118,'Sign-ups'!$AO$2:$AO$301,0)),"")</f>
        <v/>
      </c>
      <c r="H123" s="26">
        <f>IFERROR(INDEX('Sign-ups'!$AJ$2:$AJ$301,MATCH(118,'Sign-ups'!$AO$2:$AO$301,0)),"")</f>
        <v/>
      </c>
      <c r="I123" s="26">
        <f>IFERROR(INDEX('Sign-ups'!$AN$2:$AN$301,MATCH(118,'Sign-ups'!$AO$2:$AO$301,0)),"")</f>
        <v/>
      </c>
      <c r="J123" s="26">
        <f>IFERROR(INDEX('Sign-ups'!$AA$2:$AA$301,MATCH(118,'Sign-ups'!$AO$2:$AO$301,0))&amp;"","")</f>
        <v/>
      </c>
      <c r="K123" s="27">
        <f>IFERROR(INDEX('Sign-ups'!$AB$2:$AB$301,MATCH(118,'Sign-ups'!$AO$2:$AO$301,0))&amp;"","")</f>
        <v/>
      </c>
    </row>
    <row r="124">
      <c r="A124" s="26">
        <f>IF(ISNUMBER(MATCH(119,'Sign-ups'!$AO$2:$AO$301,0)),119,"")</f>
        <v/>
      </c>
      <c r="B124" s="27">
        <f>IFERROR(INDEX('Sign-ups'!$AE$2:$AE$301,MATCH(119,'Sign-ups'!$AO$2:$AO$301,0)),"")</f>
        <v/>
      </c>
      <c r="C124" s="27">
        <f>IFERROR(INDEX('Sign-ups'!$AF$2:$AF$301,MATCH(119,'Sign-ups'!$AO$2:$AO$301,0)),"")</f>
        <v/>
      </c>
      <c r="D124" s="27">
        <f>IFERROR(INDEX('Sign-ups'!$AG$2:$AG$301,MATCH(119,'Sign-ups'!$AO$2:$AO$301,0)),"")</f>
        <v/>
      </c>
      <c r="E124" s="27">
        <f>IFERROR(INDEX('Sign-ups'!$AH$2:$AH$301,MATCH(119,'Sign-ups'!$AO$2:$AO$301,0)),"")</f>
        <v/>
      </c>
      <c r="F124" s="27">
        <f>IFERROR(INDEX('Sign-ups'!$AI$2:$AI$301,MATCH(119,'Sign-ups'!$AO$2:$AO$301,0)),"")</f>
        <v/>
      </c>
      <c r="G124" s="27">
        <f>IFERROR(INDEX('Sign-ups'!$AK$2:$AK$301,MATCH(119,'Sign-ups'!$AO$2:$AO$301,0)),"")</f>
        <v/>
      </c>
      <c r="H124" s="26">
        <f>IFERROR(INDEX('Sign-ups'!$AJ$2:$AJ$301,MATCH(119,'Sign-ups'!$AO$2:$AO$301,0)),"")</f>
        <v/>
      </c>
      <c r="I124" s="26">
        <f>IFERROR(INDEX('Sign-ups'!$AN$2:$AN$301,MATCH(119,'Sign-ups'!$AO$2:$AO$301,0)),"")</f>
        <v/>
      </c>
      <c r="J124" s="26">
        <f>IFERROR(INDEX('Sign-ups'!$AA$2:$AA$301,MATCH(119,'Sign-ups'!$AO$2:$AO$301,0))&amp;"","")</f>
        <v/>
      </c>
      <c r="K124" s="27">
        <f>IFERROR(INDEX('Sign-ups'!$AB$2:$AB$301,MATCH(119,'Sign-ups'!$AO$2:$AO$301,0))&amp;"","")</f>
        <v/>
      </c>
    </row>
    <row r="125">
      <c r="A125" s="26">
        <f>IF(ISNUMBER(MATCH(120,'Sign-ups'!$AO$2:$AO$301,0)),120,"")</f>
        <v/>
      </c>
      <c r="B125" s="27">
        <f>IFERROR(INDEX('Sign-ups'!$AE$2:$AE$301,MATCH(120,'Sign-ups'!$AO$2:$AO$301,0)),"")</f>
        <v/>
      </c>
      <c r="C125" s="27">
        <f>IFERROR(INDEX('Sign-ups'!$AF$2:$AF$301,MATCH(120,'Sign-ups'!$AO$2:$AO$301,0)),"")</f>
        <v/>
      </c>
      <c r="D125" s="27">
        <f>IFERROR(INDEX('Sign-ups'!$AG$2:$AG$301,MATCH(120,'Sign-ups'!$AO$2:$AO$301,0)),"")</f>
        <v/>
      </c>
      <c r="E125" s="27">
        <f>IFERROR(INDEX('Sign-ups'!$AH$2:$AH$301,MATCH(120,'Sign-ups'!$AO$2:$AO$301,0)),"")</f>
        <v/>
      </c>
      <c r="F125" s="27">
        <f>IFERROR(INDEX('Sign-ups'!$AI$2:$AI$301,MATCH(120,'Sign-ups'!$AO$2:$AO$301,0)),"")</f>
        <v/>
      </c>
      <c r="G125" s="27">
        <f>IFERROR(INDEX('Sign-ups'!$AK$2:$AK$301,MATCH(120,'Sign-ups'!$AO$2:$AO$301,0)),"")</f>
        <v/>
      </c>
      <c r="H125" s="26">
        <f>IFERROR(INDEX('Sign-ups'!$AJ$2:$AJ$301,MATCH(120,'Sign-ups'!$AO$2:$AO$301,0)),"")</f>
        <v/>
      </c>
      <c r="I125" s="26">
        <f>IFERROR(INDEX('Sign-ups'!$AN$2:$AN$301,MATCH(120,'Sign-ups'!$AO$2:$AO$301,0)),"")</f>
        <v/>
      </c>
      <c r="J125" s="26">
        <f>IFERROR(INDEX('Sign-ups'!$AA$2:$AA$301,MATCH(120,'Sign-ups'!$AO$2:$AO$301,0))&amp;"","")</f>
        <v/>
      </c>
      <c r="K125" s="27">
        <f>IFERROR(INDEX('Sign-ups'!$AB$2:$AB$301,MATCH(120,'Sign-ups'!$AO$2:$AO$301,0))&amp;"","")</f>
        <v/>
      </c>
    </row>
    <row r="126">
      <c r="A126" s="26">
        <f>IF(ISNUMBER(MATCH(121,'Sign-ups'!$AO$2:$AO$301,0)),121,"")</f>
        <v/>
      </c>
      <c r="B126" s="27">
        <f>IFERROR(INDEX('Sign-ups'!$AE$2:$AE$301,MATCH(121,'Sign-ups'!$AO$2:$AO$301,0)),"")</f>
        <v/>
      </c>
      <c r="C126" s="27">
        <f>IFERROR(INDEX('Sign-ups'!$AF$2:$AF$301,MATCH(121,'Sign-ups'!$AO$2:$AO$301,0)),"")</f>
        <v/>
      </c>
      <c r="D126" s="27">
        <f>IFERROR(INDEX('Sign-ups'!$AG$2:$AG$301,MATCH(121,'Sign-ups'!$AO$2:$AO$301,0)),"")</f>
        <v/>
      </c>
      <c r="E126" s="27">
        <f>IFERROR(INDEX('Sign-ups'!$AH$2:$AH$301,MATCH(121,'Sign-ups'!$AO$2:$AO$301,0)),"")</f>
        <v/>
      </c>
      <c r="F126" s="27">
        <f>IFERROR(INDEX('Sign-ups'!$AI$2:$AI$301,MATCH(121,'Sign-ups'!$AO$2:$AO$301,0)),"")</f>
        <v/>
      </c>
      <c r="G126" s="27">
        <f>IFERROR(INDEX('Sign-ups'!$AK$2:$AK$301,MATCH(121,'Sign-ups'!$AO$2:$AO$301,0)),"")</f>
        <v/>
      </c>
      <c r="H126" s="26">
        <f>IFERROR(INDEX('Sign-ups'!$AJ$2:$AJ$301,MATCH(121,'Sign-ups'!$AO$2:$AO$301,0)),"")</f>
        <v/>
      </c>
      <c r="I126" s="26">
        <f>IFERROR(INDEX('Sign-ups'!$AN$2:$AN$301,MATCH(121,'Sign-ups'!$AO$2:$AO$301,0)),"")</f>
        <v/>
      </c>
      <c r="J126" s="26">
        <f>IFERROR(INDEX('Sign-ups'!$AA$2:$AA$301,MATCH(121,'Sign-ups'!$AO$2:$AO$301,0))&amp;"","")</f>
        <v/>
      </c>
      <c r="K126" s="27">
        <f>IFERROR(INDEX('Sign-ups'!$AB$2:$AB$301,MATCH(121,'Sign-ups'!$AO$2:$AO$301,0))&amp;"","")</f>
        <v/>
      </c>
    </row>
    <row r="127">
      <c r="A127" s="26">
        <f>IF(ISNUMBER(MATCH(122,'Sign-ups'!$AO$2:$AO$301,0)),122,"")</f>
        <v/>
      </c>
      <c r="B127" s="27">
        <f>IFERROR(INDEX('Sign-ups'!$AE$2:$AE$301,MATCH(122,'Sign-ups'!$AO$2:$AO$301,0)),"")</f>
        <v/>
      </c>
      <c r="C127" s="27">
        <f>IFERROR(INDEX('Sign-ups'!$AF$2:$AF$301,MATCH(122,'Sign-ups'!$AO$2:$AO$301,0)),"")</f>
        <v/>
      </c>
      <c r="D127" s="27">
        <f>IFERROR(INDEX('Sign-ups'!$AG$2:$AG$301,MATCH(122,'Sign-ups'!$AO$2:$AO$301,0)),"")</f>
        <v/>
      </c>
      <c r="E127" s="27">
        <f>IFERROR(INDEX('Sign-ups'!$AH$2:$AH$301,MATCH(122,'Sign-ups'!$AO$2:$AO$301,0)),"")</f>
        <v/>
      </c>
      <c r="F127" s="27">
        <f>IFERROR(INDEX('Sign-ups'!$AI$2:$AI$301,MATCH(122,'Sign-ups'!$AO$2:$AO$301,0)),"")</f>
        <v/>
      </c>
      <c r="G127" s="27">
        <f>IFERROR(INDEX('Sign-ups'!$AK$2:$AK$301,MATCH(122,'Sign-ups'!$AO$2:$AO$301,0)),"")</f>
        <v/>
      </c>
      <c r="H127" s="26">
        <f>IFERROR(INDEX('Sign-ups'!$AJ$2:$AJ$301,MATCH(122,'Sign-ups'!$AO$2:$AO$301,0)),"")</f>
        <v/>
      </c>
      <c r="I127" s="26">
        <f>IFERROR(INDEX('Sign-ups'!$AN$2:$AN$301,MATCH(122,'Sign-ups'!$AO$2:$AO$301,0)),"")</f>
        <v/>
      </c>
      <c r="J127" s="26">
        <f>IFERROR(INDEX('Sign-ups'!$AA$2:$AA$301,MATCH(122,'Sign-ups'!$AO$2:$AO$301,0))&amp;"","")</f>
        <v/>
      </c>
      <c r="K127" s="27">
        <f>IFERROR(INDEX('Sign-ups'!$AB$2:$AB$301,MATCH(122,'Sign-ups'!$AO$2:$AO$301,0))&amp;"","")</f>
        <v/>
      </c>
    </row>
    <row r="128">
      <c r="A128" s="26">
        <f>IF(ISNUMBER(MATCH(123,'Sign-ups'!$AO$2:$AO$301,0)),123,"")</f>
        <v/>
      </c>
      <c r="B128" s="27">
        <f>IFERROR(INDEX('Sign-ups'!$AE$2:$AE$301,MATCH(123,'Sign-ups'!$AO$2:$AO$301,0)),"")</f>
        <v/>
      </c>
      <c r="C128" s="27">
        <f>IFERROR(INDEX('Sign-ups'!$AF$2:$AF$301,MATCH(123,'Sign-ups'!$AO$2:$AO$301,0)),"")</f>
        <v/>
      </c>
      <c r="D128" s="27">
        <f>IFERROR(INDEX('Sign-ups'!$AG$2:$AG$301,MATCH(123,'Sign-ups'!$AO$2:$AO$301,0)),"")</f>
        <v/>
      </c>
      <c r="E128" s="27">
        <f>IFERROR(INDEX('Sign-ups'!$AH$2:$AH$301,MATCH(123,'Sign-ups'!$AO$2:$AO$301,0)),"")</f>
        <v/>
      </c>
      <c r="F128" s="27">
        <f>IFERROR(INDEX('Sign-ups'!$AI$2:$AI$301,MATCH(123,'Sign-ups'!$AO$2:$AO$301,0)),"")</f>
        <v/>
      </c>
      <c r="G128" s="27">
        <f>IFERROR(INDEX('Sign-ups'!$AK$2:$AK$301,MATCH(123,'Sign-ups'!$AO$2:$AO$301,0)),"")</f>
        <v/>
      </c>
      <c r="H128" s="26">
        <f>IFERROR(INDEX('Sign-ups'!$AJ$2:$AJ$301,MATCH(123,'Sign-ups'!$AO$2:$AO$301,0)),"")</f>
        <v/>
      </c>
      <c r="I128" s="26">
        <f>IFERROR(INDEX('Sign-ups'!$AN$2:$AN$301,MATCH(123,'Sign-ups'!$AO$2:$AO$301,0)),"")</f>
        <v/>
      </c>
      <c r="J128" s="26">
        <f>IFERROR(INDEX('Sign-ups'!$AA$2:$AA$301,MATCH(123,'Sign-ups'!$AO$2:$AO$301,0))&amp;"","")</f>
        <v/>
      </c>
      <c r="K128" s="27">
        <f>IFERROR(INDEX('Sign-ups'!$AB$2:$AB$301,MATCH(123,'Sign-ups'!$AO$2:$AO$301,0))&amp;"","")</f>
        <v/>
      </c>
    </row>
    <row r="129">
      <c r="A129" s="26">
        <f>IF(ISNUMBER(MATCH(124,'Sign-ups'!$AO$2:$AO$301,0)),124,"")</f>
        <v/>
      </c>
      <c r="B129" s="27">
        <f>IFERROR(INDEX('Sign-ups'!$AE$2:$AE$301,MATCH(124,'Sign-ups'!$AO$2:$AO$301,0)),"")</f>
        <v/>
      </c>
      <c r="C129" s="27">
        <f>IFERROR(INDEX('Sign-ups'!$AF$2:$AF$301,MATCH(124,'Sign-ups'!$AO$2:$AO$301,0)),"")</f>
        <v/>
      </c>
      <c r="D129" s="27">
        <f>IFERROR(INDEX('Sign-ups'!$AG$2:$AG$301,MATCH(124,'Sign-ups'!$AO$2:$AO$301,0)),"")</f>
        <v/>
      </c>
      <c r="E129" s="27">
        <f>IFERROR(INDEX('Sign-ups'!$AH$2:$AH$301,MATCH(124,'Sign-ups'!$AO$2:$AO$301,0)),"")</f>
        <v/>
      </c>
      <c r="F129" s="27">
        <f>IFERROR(INDEX('Sign-ups'!$AI$2:$AI$301,MATCH(124,'Sign-ups'!$AO$2:$AO$301,0)),"")</f>
        <v/>
      </c>
      <c r="G129" s="27">
        <f>IFERROR(INDEX('Sign-ups'!$AK$2:$AK$301,MATCH(124,'Sign-ups'!$AO$2:$AO$301,0)),"")</f>
        <v/>
      </c>
      <c r="H129" s="26">
        <f>IFERROR(INDEX('Sign-ups'!$AJ$2:$AJ$301,MATCH(124,'Sign-ups'!$AO$2:$AO$301,0)),"")</f>
        <v/>
      </c>
      <c r="I129" s="26">
        <f>IFERROR(INDEX('Sign-ups'!$AN$2:$AN$301,MATCH(124,'Sign-ups'!$AO$2:$AO$301,0)),"")</f>
        <v/>
      </c>
      <c r="J129" s="26">
        <f>IFERROR(INDEX('Sign-ups'!$AA$2:$AA$301,MATCH(124,'Sign-ups'!$AO$2:$AO$301,0))&amp;"","")</f>
        <v/>
      </c>
      <c r="K129" s="27">
        <f>IFERROR(INDEX('Sign-ups'!$AB$2:$AB$301,MATCH(124,'Sign-ups'!$AO$2:$AO$301,0))&amp;"","")</f>
        <v/>
      </c>
    </row>
    <row r="130">
      <c r="A130" s="26">
        <f>IF(ISNUMBER(MATCH(125,'Sign-ups'!$AO$2:$AO$301,0)),125,"")</f>
        <v/>
      </c>
      <c r="B130" s="27">
        <f>IFERROR(INDEX('Sign-ups'!$AE$2:$AE$301,MATCH(125,'Sign-ups'!$AO$2:$AO$301,0)),"")</f>
        <v/>
      </c>
      <c r="C130" s="27">
        <f>IFERROR(INDEX('Sign-ups'!$AF$2:$AF$301,MATCH(125,'Sign-ups'!$AO$2:$AO$301,0)),"")</f>
        <v/>
      </c>
      <c r="D130" s="27">
        <f>IFERROR(INDEX('Sign-ups'!$AG$2:$AG$301,MATCH(125,'Sign-ups'!$AO$2:$AO$301,0)),"")</f>
        <v/>
      </c>
      <c r="E130" s="27">
        <f>IFERROR(INDEX('Sign-ups'!$AH$2:$AH$301,MATCH(125,'Sign-ups'!$AO$2:$AO$301,0)),"")</f>
        <v/>
      </c>
      <c r="F130" s="27">
        <f>IFERROR(INDEX('Sign-ups'!$AI$2:$AI$301,MATCH(125,'Sign-ups'!$AO$2:$AO$301,0)),"")</f>
        <v/>
      </c>
      <c r="G130" s="27">
        <f>IFERROR(INDEX('Sign-ups'!$AK$2:$AK$301,MATCH(125,'Sign-ups'!$AO$2:$AO$301,0)),"")</f>
        <v/>
      </c>
      <c r="H130" s="26">
        <f>IFERROR(INDEX('Sign-ups'!$AJ$2:$AJ$301,MATCH(125,'Sign-ups'!$AO$2:$AO$301,0)),"")</f>
        <v/>
      </c>
      <c r="I130" s="26">
        <f>IFERROR(INDEX('Sign-ups'!$AN$2:$AN$301,MATCH(125,'Sign-ups'!$AO$2:$AO$301,0)),"")</f>
        <v/>
      </c>
      <c r="J130" s="26">
        <f>IFERROR(INDEX('Sign-ups'!$AA$2:$AA$301,MATCH(125,'Sign-ups'!$AO$2:$AO$301,0))&amp;"","")</f>
        <v/>
      </c>
      <c r="K130" s="27">
        <f>IFERROR(INDEX('Sign-ups'!$AB$2:$AB$301,MATCH(125,'Sign-ups'!$AO$2:$AO$301,0))&amp;"","")</f>
        <v/>
      </c>
    </row>
    <row r="131">
      <c r="A131" s="26">
        <f>IF(ISNUMBER(MATCH(126,'Sign-ups'!$AO$2:$AO$301,0)),126,"")</f>
        <v/>
      </c>
      <c r="B131" s="27">
        <f>IFERROR(INDEX('Sign-ups'!$AE$2:$AE$301,MATCH(126,'Sign-ups'!$AO$2:$AO$301,0)),"")</f>
        <v/>
      </c>
      <c r="C131" s="27">
        <f>IFERROR(INDEX('Sign-ups'!$AF$2:$AF$301,MATCH(126,'Sign-ups'!$AO$2:$AO$301,0)),"")</f>
        <v/>
      </c>
      <c r="D131" s="27">
        <f>IFERROR(INDEX('Sign-ups'!$AG$2:$AG$301,MATCH(126,'Sign-ups'!$AO$2:$AO$301,0)),"")</f>
        <v/>
      </c>
      <c r="E131" s="27">
        <f>IFERROR(INDEX('Sign-ups'!$AH$2:$AH$301,MATCH(126,'Sign-ups'!$AO$2:$AO$301,0)),"")</f>
        <v/>
      </c>
      <c r="F131" s="27">
        <f>IFERROR(INDEX('Sign-ups'!$AI$2:$AI$301,MATCH(126,'Sign-ups'!$AO$2:$AO$301,0)),"")</f>
        <v/>
      </c>
      <c r="G131" s="27">
        <f>IFERROR(INDEX('Sign-ups'!$AK$2:$AK$301,MATCH(126,'Sign-ups'!$AO$2:$AO$301,0)),"")</f>
        <v/>
      </c>
      <c r="H131" s="26">
        <f>IFERROR(INDEX('Sign-ups'!$AJ$2:$AJ$301,MATCH(126,'Sign-ups'!$AO$2:$AO$301,0)),"")</f>
        <v/>
      </c>
      <c r="I131" s="26">
        <f>IFERROR(INDEX('Sign-ups'!$AN$2:$AN$301,MATCH(126,'Sign-ups'!$AO$2:$AO$301,0)),"")</f>
        <v/>
      </c>
      <c r="J131" s="26">
        <f>IFERROR(INDEX('Sign-ups'!$AA$2:$AA$301,MATCH(126,'Sign-ups'!$AO$2:$AO$301,0))&amp;"","")</f>
        <v/>
      </c>
      <c r="K131" s="27">
        <f>IFERROR(INDEX('Sign-ups'!$AB$2:$AB$301,MATCH(126,'Sign-ups'!$AO$2:$AO$301,0))&amp;"","")</f>
        <v/>
      </c>
    </row>
    <row r="132">
      <c r="A132" s="26">
        <f>IF(ISNUMBER(MATCH(127,'Sign-ups'!$AO$2:$AO$301,0)),127,"")</f>
        <v/>
      </c>
      <c r="B132" s="27">
        <f>IFERROR(INDEX('Sign-ups'!$AE$2:$AE$301,MATCH(127,'Sign-ups'!$AO$2:$AO$301,0)),"")</f>
        <v/>
      </c>
      <c r="C132" s="27">
        <f>IFERROR(INDEX('Sign-ups'!$AF$2:$AF$301,MATCH(127,'Sign-ups'!$AO$2:$AO$301,0)),"")</f>
        <v/>
      </c>
      <c r="D132" s="27">
        <f>IFERROR(INDEX('Sign-ups'!$AG$2:$AG$301,MATCH(127,'Sign-ups'!$AO$2:$AO$301,0)),"")</f>
        <v/>
      </c>
      <c r="E132" s="27">
        <f>IFERROR(INDEX('Sign-ups'!$AH$2:$AH$301,MATCH(127,'Sign-ups'!$AO$2:$AO$301,0)),"")</f>
        <v/>
      </c>
      <c r="F132" s="27">
        <f>IFERROR(INDEX('Sign-ups'!$AI$2:$AI$301,MATCH(127,'Sign-ups'!$AO$2:$AO$301,0)),"")</f>
        <v/>
      </c>
      <c r="G132" s="27">
        <f>IFERROR(INDEX('Sign-ups'!$AK$2:$AK$301,MATCH(127,'Sign-ups'!$AO$2:$AO$301,0)),"")</f>
        <v/>
      </c>
      <c r="H132" s="26">
        <f>IFERROR(INDEX('Sign-ups'!$AJ$2:$AJ$301,MATCH(127,'Sign-ups'!$AO$2:$AO$301,0)),"")</f>
        <v/>
      </c>
      <c r="I132" s="26">
        <f>IFERROR(INDEX('Sign-ups'!$AN$2:$AN$301,MATCH(127,'Sign-ups'!$AO$2:$AO$301,0)),"")</f>
        <v/>
      </c>
      <c r="J132" s="26">
        <f>IFERROR(INDEX('Sign-ups'!$AA$2:$AA$301,MATCH(127,'Sign-ups'!$AO$2:$AO$301,0))&amp;"","")</f>
        <v/>
      </c>
      <c r="K132" s="27">
        <f>IFERROR(INDEX('Sign-ups'!$AB$2:$AB$301,MATCH(127,'Sign-ups'!$AO$2:$AO$301,0))&amp;"","")</f>
        <v/>
      </c>
    </row>
    <row r="133">
      <c r="A133" s="26">
        <f>IF(ISNUMBER(MATCH(128,'Sign-ups'!$AO$2:$AO$301,0)),128,"")</f>
        <v/>
      </c>
      <c r="B133" s="27">
        <f>IFERROR(INDEX('Sign-ups'!$AE$2:$AE$301,MATCH(128,'Sign-ups'!$AO$2:$AO$301,0)),"")</f>
        <v/>
      </c>
      <c r="C133" s="27">
        <f>IFERROR(INDEX('Sign-ups'!$AF$2:$AF$301,MATCH(128,'Sign-ups'!$AO$2:$AO$301,0)),"")</f>
        <v/>
      </c>
      <c r="D133" s="27">
        <f>IFERROR(INDEX('Sign-ups'!$AG$2:$AG$301,MATCH(128,'Sign-ups'!$AO$2:$AO$301,0)),"")</f>
        <v/>
      </c>
      <c r="E133" s="27">
        <f>IFERROR(INDEX('Sign-ups'!$AH$2:$AH$301,MATCH(128,'Sign-ups'!$AO$2:$AO$301,0)),"")</f>
        <v/>
      </c>
      <c r="F133" s="27">
        <f>IFERROR(INDEX('Sign-ups'!$AI$2:$AI$301,MATCH(128,'Sign-ups'!$AO$2:$AO$301,0)),"")</f>
        <v/>
      </c>
      <c r="G133" s="27">
        <f>IFERROR(INDEX('Sign-ups'!$AK$2:$AK$301,MATCH(128,'Sign-ups'!$AO$2:$AO$301,0)),"")</f>
        <v/>
      </c>
      <c r="H133" s="26">
        <f>IFERROR(INDEX('Sign-ups'!$AJ$2:$AJ$301,MATCH(128,'Sign-ups'!$AO$2:$AO$301,0)),"")</f>
        <v/>
      </c>
      <c r="I133" s="26">
        <f>IFERROR(INDEX('Sign-ups'!$AN$2:$AN$301,MATCH(128,'Sign-ups'!$AO$2:$AO$301,0)),"")</f>
        <v/>
      </c>
      <c r="J133" s="26">
        <f>IFERROR(INDEX('Sign-ups'!$AA$2:$AA$301,MATCH(128,'Sign-ups'!$AO$2:$AO$301,0))&amp;"","")</f>
        <v/>
      </c>
      <c r="K133" s="27">
        <f>IFERROR(INDEX('Sign-ups'!$AB$2:$AB$301,MATCH(128,'Sign-ups'!$AO$2:$AO$301,0))&amp;"","")</f>
        <v/>
      </c>
    </row>
    <row r="134">
      <c r="A134" s="26">
        <f>IF(ISNUMBER(MATCH(129,'Sign-ups'!$AO$2:$AO$301,0)),129,"")</f>
        <v/>
      </c>
      <c r="B134" s="27">
        <f>IFERROR(INDEX('Sign-ups'!$AE$2:$AE$301,MATCH(129,'Sign-ups'!$AO$2:$AO$301,0)),"")</f>
        <v/>
      </c>
      <c r="C134" s="27">
        <f>IFERROR(INDEX('Sign-ups'!$AF$2:$AF$301,MATCH(129,'Sign-ups'!$AO$2:$AO$301,0)),"")</f>
        <v/>
      </c>
      <c r="D134" s="27">
        <f>IFERROR(INDEX('Sign-ups'!$AG$2:$AG$301,MATCH(129,'Sign-ups'!$AO$2:$AO$301,0)),"")</f>
        <v/>
      </c>
      <c r="E134" s="27">
        <f>IFERROR(INDEX('Sign-ups'!$AH$2:$AH$301,MATCH(129,'Sign-ups'!$AO$2:$AO$301,0)),"")</f>
        <v/>
      </c>
      <c r="F134" s="27">
        <f>IFERROR(INDEX('Sign-ups'!$AI$2:$AI$301,MATCH(129,'Sign-ups'!$AO$2:$AO$301,0)),"")</f>
        <v/>
      </c>
      <c r="G134" s="27">
        <f>IFERROR(INDEX('Sign-ups'!$AK$2:$AK$301,MATCH(129,'Sign-ups'!$AO$2:$AO$301,0)),"")</f>
        <v/>
      </c>
      <c r="H134" s="26">
        <f>IFERROR(INDEX('Sign-ups'!$AJ$2:$AJ$301,MATCH(129,'Sign-ups'!$AO$2:$AO$301,0)),"")</f>
        <v/>
      </c>
      <c r="I134" s="26">
        <f>IFERROR(INDEX('Sign-ups'!$AN$2:$AN$301,MATCH(129,'Sign-ups'!$AO$2:$AO$301,0)),"")</f>
        <v/>
      </c>
      <c r="J134" s="26">
        <f>IFERROR(INDEX('Sign-ups'!$AA$2:$AA$301,MATCH(129,'Sign-ups'!$AO$2:$AO$301,0))&amp;"","")</f>
        <v/>
      </c>
      <c r="K134" s="27">
        <f>IFERROR(INDEX('Sign-ups'!$AB$2:$AB$301,MATCH(129,'Sign-ups'!$AO$2:$AO$301,0))&amp;"","")</f>
        <v/>
      </c>
    </row>
    <row r="135">
      <c r="A135" s="26">
        <f>IF(ISNUMBER(MATCH(130,'Sign-ups'!$AO$2:$AO$301,0)),130,"")</f>
        <v/>
      </c>
      <c r="B135" s="27">
        <f>IFERROR(INDEX('Sign-ups'!$AE$2:$AE$301,MATCH(130,'Sign-ups'!$AO$2:$AO$301,0)),"")</f>
        <v/>
      </c>
      <c r="C135" s="27">
        <f>IFERROR(INDEX('Sign-ups'!$AF$2:$AF$301,MATCH(130,'Sign-ups'!$AO$2:$AO$301,0)),"")</f>
        <v/>
      </c>
      <c r="D135" s="27">
        <f>IFERROR(INDEX('Sign-ups'!$AG$2:$AG$301,MATCH(130,'Sign-ups'!$AO$2:$AO$301,0)),"")</f>
        <v/>
      </c>
      <c r="E135" s="27">
        <f>IFERROR(INDEX('Sign-ups'!$AH$2:$AH$301,MATCH(130,'Sign-ups'!$AO$2:$AO$301,0)),"")</f>
        <v/>
      </c>
      <c r="F135" s="27">
        <f>IFERROR(INDEX('Sign-ups'!$AI$2:$AI$301,MATCH(130,'Sign-ups'!$AO$2:$AO$301,0)),"")</f>
        <v/>
      </c>
      <c r="G135" s="27">
        <f>IFERROR(INDEX('Sign-ups'!$AK$2:$AK$301,MATCH(130,'Sign-ups'!$AO$2:$AO$301,0)),"")</f>
        <v/>
      </c>
      <c r="H135" s="26">
        <f>IFERROR(INDEX('Sign-ups'!$AJ$2:$AJ$301,MATCH(130,'Sign-ups'!$AO$2:$AO$301,0)),"")</f>
        <v/>
      </c>
      <c r="I135" s="26">
        <f>IFERROR(INDEX('Sign-ups'!$AN$2:$AN$301,MATCH(130,'Sign-ups'!$AO$2:$AO$301,0)),"")</f>
        <v/>
      </c>
      <c r="J135" s="26">
        <f>IFERROR(INDEX('Sign-ups'!$AA$2:$AA$301,MATCH(130,'Sign-ups'!$AO$2:$AO$301,0))&amp;"","")</f>
        <v/>
      </c>
      <c r="K135" s="27">
        <f>IFERROR(INDEX('Sign-ups'!$AB$2:$AB$301,MATCH(130,'Sign-ups'!$AO$2:$AO$301,0))&amp;"","")</f>
        <v/>
      </c>
    </row>
    <row r="136">
      <c r="A136" s="26">
        <f>IF(ISNUMBER(MATCH(131,'Sign-ups'!$AO$2:$AO$301,0)),131,"")</f>
        <v/>
      </c>
      <c r="B136" s="27">
        <f>IFERROR(INDEX('Sign-ups'!$AE$2:$AE$301,MATCH(131,'Sign-ups'!$AO$2:$AO$301,0)),"")</f>
        <v/>
      </c>
      <c r="C136" s="27">
        <f>IFERROR(INDEX('Sign-ups'!$AF$2:$AF$301,MATCH(131,'Sign-ups'!$AO$2:$AO$301,0)),"")</f>
        <v/>
      </c>
      <c r="D136" s="27">
        <f>IFERROR(INDEX('Sign-ups'!$AG$2:$AG$301,MATCH(131,'Sign-ups'!$AO$2:$AO$301,0)),"")</f>
        <v/>
      </c>
      <c r="E136" s="27">
        <f>IFERROR(INDEX('Sign-ups'!$AH$2:$AH$301,MATCH(131,'Sign-ups'!$AO$2:$AO$301,0)),"")</f>
        <v/>
      </c>
      <c r="F136" s="27">
        <f>IFERROR(INDEX('Sign-ups'!$AI$2:$AI$301,MATCH(131,'Sign-ups'!$AO$2:$AO$301,0)),"")</f>
        <v/>
      </c>
      <c r="G136" s="27">
        <f>IFERROR(INDEX('Sign-ups'!$AK$2:$AK$301,MATCH(131,'Sign-ups'!$AO$2:$AO$301,0)),"")</f>
        <v/>
      </c>
      <c r="H136" s="26">
        <f>IFERROR(INDEX('Sign-ups'!$AJ$2:$AJ$301,MATCH(131,'Sign-ups'!$AO$2:$AO$301,0)),"")</f>
        <v/>
      </c>
      <c r="I136" s="26">
        <f>IFERROR(INDEX('Sign-ups'!$AN$2:$AN$301,MATCH(131,'Sign-ups'!$AO$2:$AO$301,0)),"")</f>
        <v/>
      </c>
      <c r="J136" s="26">
        <f>IFERROR(INDEX('Sign-ups'!$AA$2:$AA$301,MATCH(131,'Sign-ups'!$AO$2:$AO$301,0))&amp;"","")</f>
        <v/>
      </c>
      <c r="K136" s="27">
        <f>IFERROR(INDEX('Sign-ups'!$AB$2:$AB$301,MATCH(131,'Sign-ups'!$AO$2:$AO$301,0))&amp;"","")</f>
        <v/>
      </c>
    </row>
    <row r="137">
      <c r="A137" s="26">
        <f>IF(ISNUMBER(MATCH(132,'Sign-ups'!$AO$2:$AO$301,0)),132,"")</f>
        <v/>
      </c>
      <c r="B137" s="27">
        <f>IFERROR(INDEX('Sign-ups'!$AE$2:$AE$301,MATCH(132,'Sign-ups'!$AO$2:$AO$301,0)),"")</f>
        <v/>
      </c>
      <c r="C137" s="27">
        <f>IFERROR(INDEX('Sign-ups'!$AF$2:$AF$301,MATCH(132,'Sign-ups'!$AO$2:$AO$301,0)),"")</f>
        <v/>
      </c>
      <c r="D137" s="27">
        <f>IFERROR(INDEX('Sign-ups'!$AG$2:$AG$301,MATCH(132,'Sign-ups'!$AO$2:$AO$301,0)),"")</f>
        <v/>
      </c>
      <c r="E137" s="27">
        <f>IFERROR(INDEX('Sign-ups'!$AH$2:$AH$301,MATCH(132,'Sign-ups'!$AO$2:$AO$301,0)),"")</f>
        <v/>
      </c>
      <c r="F137" s="27">
        <f>IFERROR(INDEX('Sign-ups'!$AI$2:$AI$301,MATCH(132,'Sign-ups'!$AO$2:$AO$301,0)),"")</f>
        <v/>
      </c>
      <c r="G137" s="27">
        <f>IFERROR(INDEX('Sign-ups'!$AK$2:$AK$301,MATCH(132,'Sign-ups'!$AO$2:$AO$301,0)),"")</f>
        <v/>
      </c>
      <c r="H137" s="26">
        <f>IFERROR(INDEX('Sign-ups'!$AJ$2:$AJ$301,MATCH(132,'Sign-ups'!$AO$2:$AO$301,0)),"")</f>
        <v/>
      </c>
      <c r="I137" s="26">
        <f>IFERROR(INDEX('Sign-ups'!$AN$2:$AN$301,MATCH(132,'Sign-ups'!$AO$2:$AO$301,0)),"")</f>
        <v/>
      </c>
      <c r="J137" s="26">
        <f>IFERROR(INDEX('Sign-ups'!$AA$2:$AA$301,MATCH(132,'Sign-ups'!$AO$2:$AO$301,0))&amp;"","")</f>
        <v/>
      </c>
      <c r="K137" s="27">
        <f>IFERROR(INDEX('Sign-ups'!$AB$2:$AB$301,MATCH(132,'Sign-ups'!$AO$2:$AO$301,0))&amp;"","")</f>
        <v/>
      </c>
    </row>
    <row r="138">
      <c r="A138" s="26">
        <f>IF(ISNUMBER(MATCH(133,'Sign-ups'!$AO$2:$AO$301,0)),133,"")</f>
        <v/>
      </c>
      <c r="B138" s="27">
        <f>IFERROR(INDEX('Sign-ups'!$AE$2:$AE$301,MATCH(133,'Sign-ups'!$AO$2:$AO$301,0)),"")</f>
        <v/>
      </c>
      <c r="C138" s="27">
        <f>IFERROR(INDEX('Sign-ups'!$AF$2:$AF$301,MATCH(133,'Sign-ups'!$AO$2:$AO$301,0)),"")</f>
        <v/>
      </c>
      <c r="D138" s="27">
        <f>IFERROR(INDEX('Sign-ups'!$AG$2:$AG$301,MATCH(133,'Sign-ups'!$AO$2:$AO$301,0)),"")</f>
        <v/>
      </c>
      <c r="E138" s="27">
        <f>IFERROR(INDEX('Sign-ups'!$AH$2:$AH$301,MATCH(133,'Sign-ups'!$AO$2:$AO$301,0)),"")</f>
        <v/>
      </c>
      <c r="F138" s="27">
        <f>IFERROR(INDEX('Sign-ups'!$AI$2:$AI$301,MATCH(133,'Sign-ups'!$AO$2:$AO$301,0)),"")</f>
        <v/>
      </c>
      <c r="G138" s="27">
        <f>IFERROR(INDEX('Sign-ups'!$AK$2:$AK$301,MATCH(133,'Sign-ups'!$AO$2:$AO$301,0)),"")</f>
        <v/>
      </c>
      <c r="H138" s="26">
        <f>IFERROR(INDEX('Sign-ups'!$AJ$2:$AJ$301,MATCH(133,'Sign-ups'!$AO$2:$AO$301,0)),"")</f>
        <v/>
      </c>
      <c r="I138" s="26">
        <f>IFERROR(INDEX('Sign-ups'!$AN$2:$AN$301,MATCH(133,'Sign-ups'!$AO$2:$AO$301,0)),"")</f>
        <v/>
      </c>
      <c r="J138" s="26">
        <f>IFERROR(INDEX('Sign-ups'!$AA$2:$AA$301,MATCH(133,'Sign-ups'!$AO$2:$AO$301,0))&amp;"","")</f>
        <v/>
      </c>
      <c r="K138" s="27">
        <f>IFERROR(INDEX('Sign-ups'!$AB$2:$AB$301,MATCH(133,'Sign-ups'!$AO$2:$AO$301,0))&amp;"","")</f>
        <v/>
      </c>
    </row>
    <row r="139">
      <c r="A139" s="26">
        <f>IF(ISNUMBER(MATCH(134,'Sign-ups'!$AO$2:$AO$301,0)),134,"")</f>
        <v/>
      </c>
      <c r="B139" s="27">
        <f>IFERROR(INDEX('Sign-ups'!$AE$2:$AE$301,MATCH(134,'Sign-ups'!$AO$2:$AO$301,0)),"")</f>
        <v/>
      </c>
      <c r="C139" s="27">
        <f>IFERROR(INDEX('Sign-ups'!$AF$2:$AF$301,MATCH(134,'Sign-ups'!$AO$2:$AO$301,0)),"")</f>
        <v/>
      </c>
      <c r="D139" s="27">
        <f>IFERROR(INDEX('Sign-ups'!$AG$2:$AG$301,MATCH(134,'Sign-ups'!$AO$2:$AO$301,0)),"")</f>
        <v/>
      </c>
      <c r="E139" s="27">
        <f>IFERROR(INDEX('Sign-ups'!$AH$2:$AH$301,MATCH(134,'Sign-ups'!$AO$2:$AO$301,0)),"")</f>
        <v/>
      </c>
      <c r="F139" s="27">
        <f>IFERROR(INDEX('Sign-ups'!$AI$2:$AI$301,MATCH(134,'Sign-ups'!$AO$2:$AO$301,0)),"")</f>
        <v/>
      </c>
      <c r="G139" s="27">
        <f>IFERROR(INDEX('Sign-ups'!$AK$2:$AK$301,MATCH(134,'Sign-ups'!$AO$2:$AO$301,0)),"")</f>
        <v/>
      </c>
      <c r="H139" s="26">
        <f>IFERROR(INDEX('Sign-ups'!$AJ$2:$AJ$301,MATCH(134,'Sign-ups'!$AO$2:$AO$301,0)),"")</f>
        <v/>
      </c>
      <c r="I139" s="26">
        <f>IFERROR(INDEX('Sign-ups'!$AN$2:$AN$301,MATCH(134,'Sign-ups'!$AO$2:$AO$301,0)),"")</f>
        <v/>
      </c>
      <c r="J139" s="26">
        <f>IFERROR(INDEX('Sign-ups'!$AA$2:$AA$301,MATCH(134,'Sign-ups'!$AO$2:$AO$301,0))&amp;"","")</f>
        <v/>
      </c>
      <c r="K139" s="27">
        <f>IFERROR(INDEX('Sign-ups'!$AB$2:$AB$301,MATCH(134,'Sign-ups'!$AO$2:$AO$301,0))&amp;"","")</f>
        <v/>
      </c>
    </row>
    <row r="140">
      <c r="A140" s="26">
        <f>IF(ISNUMBER(MATCH(135,'Sign-ups'!$AO$2:$AO$301,0)),135,"")</f>
        <v/>
      </c>
      <c r="B140" s="27">
        <f>IFERROR(INDEX('Sign-ups'!$AE$2:$AE$301,MATCH(135,'Sign-ups'!$AO$2:$AO$301,0)),"")</f>
        <v/>
      </c>
      <c r="C140" s="27">
        <f>IFERROR(INDEX('Sign-ups'!$AF$2:$AF$301,MATCH(135,'Sign-ups'!$AO$2:$AO$301,0)),"")</f>
        <v/>
      </c>
      <c r="D140" s="27">
        <f>IFERROR(INDEX('Sign-ups'!$AG$2:$AG$301,MATCH(135,'Sign-ups'!$AO$2:$AO$301,0)),"")</f>
        <v/>
      </c>
      <c r="E140" s="27">
        <f>IFERROR(INDEX('Sign-ups'!$AH$2:$AH$301,MATCH(135,'Sign-ups'!$AO$2:$AO$301,0)),"")</f>
        <v/>
      </c>
      <c r="F140" s="27">
        <f>IFERROR(INDEX('Sign-ups'!$AI$2:$AI$301,MATCH(135,'Sign-ups'!$AO$2:$AO$301,0)),"")</f>
        <v/>
      </c>
      <c r="G140" s="27">
        <f>IFERROR(INDEX('Sign-ups'!$AK$2:$AK$301,MATCH(135,'Sign-ups'!$AO$2:$AO$301,0)),"")</f>
        <v/>
      </c>
      <c r="H140" s="26">
        <f>IFERROR(INDEX('Sign-ups'!$AJ$2:$AJ$301,MATCH(135,'Sign-ups'!$AO$2:$AO$301,0)),"")</f>
        <v/>
      </c>
      <c r="I140" s="26">
        <f>IFERROR(INDEX('Sign-ups'!$AN$2:$AN$301,MATCH(135,'Sign-ups'!$AO$2:$AO$301,0)),"")</f>
        <v/>
      </c>
      <c r="J140" s="26">
        <f>IFERROR(INDEX('Sign-ups'!$AA$2:$AA$301,MATCH(135,'Sign-ups'!$AO$2:$AO$301,0))&amp;"","")</f>
        <v/>
      </c>
      <c r="K140" s="27">
        <f>IFERROR(INDEX('Sign-ups'!$AB$2:$AB$301,MATCH(135,'Sign-ups'!$AO$2:$AO$301,0))&amp;"","")</f>
        <v/>
      </c>
    </row>
    <row r="141">
      <c r="A141" s="26">
        <f>IF(ISNUMBER(MATCH(136,'Sign-ups'!$AO$2:$AO$301,0)),136,"")</f>
        <v/>
      </c>
      <c r="B141" s="27">
        <f>IFERROR(INDEX('Sign-ups'!$AE$2:$AE$301,MATCH(136,'Sign-ups'!$AO$2:$AO$301,0)),"")</f>
        <v/>
      </c>
      <c r="C141" s="27">
        <f>IFERROR(INDEX('Sign-ups'!$AF$2:$AF$301,MATCH(136,'Sign-ups'!$AO$2:$AO$301,0)),"")</f>
        <v/>
      </c>
      <c r="D141" s="27">
        <f>IFERROR(INDEX('Sign-ups'!$AG$2:$AG$301,MATCH(136,'Sign-ups'!$AO$2:$AO$301,0)),"")</f>
        <v/>
      </c>
      <c r="E141" s="27">
        <f>IFERROR(INDEX('Sign-ups'!$AH$2:$AH$301,MATCH(136,'Sign-ups'!$AO$2:$AO$301,0)),"")</f>
        <v/>
      </c>
      <c r="F141" s="27">
        <f>IFERROR(INDEX('Sign-ups'!$AI$2:$AI$301,MATCH(136,'Sign-ups'!$AO$2:$AO$301,0)),"")</f>
        <v/>
      </c>
      <c r="G141" s="27">
        <f>IFERROR(INDEX('Sign-ups'!$AK$2:$AK$301,MATCH(136,'Sign-ups'!$AO$2:$AO$301,0)),"")</f>
        <v/>
      </c>
      <c r="H141" s="26">
        <f>IFERROR(INDEX('Sign-ups'!$AJ$2:$AJ$301,MATCH(136,'Sign-ups'!$AO$2:$AO$301,0)),"")</f>
        <v/>
      </c>
      <c r="I141" s="26">
        <f>IFERROR(INDEX('Sign-ups'!$AN$2:$AN$301,MATCH(136,'Sign-ups'!$AO$2:$AO$301,0)),"")</f>
        <v/>
      </c>
      <c r="J141" s="26">
        <f>IFERROR(INDEX('Sign-ups'!$AA$2:$AA$301,MATCH(136,'Sign-ups'!$AO$2:$AO$301,0))&amp;"","")</f>
        <v/>
      </c>
      <c r="K141" s="27">
        <f>IFERROR(INDEX('Sign-ups'!$AB$2:$AB$301,MATCH(136,'Sign-ups'!$AO$2:$AO$301,0))&amp;"","")</f>
        <v/>
      </c>
    </row>
    <row r="142">
      <c r="A142" s="26">
        <f>IF(ISNUMBER(MATCH(137,'Sign-ups'!$AO$2:$AO$301,0)),137,"")</f>
        <v/>
      </c>
      <c r="B142" s="27">
        <f>IFERROR(INDEX('Sign-ups'!$AE$2:$AE$301,MATCH(137,'Sign-ups'!$AO$2:$AO$301,0)),"")</f>
        <v/>
      </c>
      <c r="C142" s="27">
        <f>IFERROR(INDEX('Sign-ups'!$AF$2:$AF$301,MATCH(137,'Sign-ups'!$AO$2:$AO$301,0)),"")</f>
        <v/>
      </c>
      <c r="D142" s="27">
        <f>IFERROR(INDEX('Sign-ups'!$AG$2:$AG$301,MATCH(137,'Sign-ups'!$AO$2:$AO$301,0)),"")</f>
        <v/>
      </c>
      <c r="E142" s="27">
        <f>IFERROR(INDEX('Sign-ups'!$AH$2:$AH$301,MATCH(137,'Sign-ups'!$AO$2:$AO$301,0)),"")</f>
        <v/>
      </c>
      <c r="F142" s="27">
        <f>IFERROR(INDEX('Sign-ups'!$AI$2:$AI$301,MATCH(137,'Sign-ups'!$AO$2:$AO$301,0)),"")</f>
        <v/>
      </c>
      <c r="G142" s="27">
        <f>IFERROR(INDEX('Sign-ups'!$AK$2:$AK$301,MATCH(137,'Sign-ups'!$AO$2:$AO$301,0)),"")</f>
        <v/>
      </c>
      <c r="H142" s="26">
        <f>IFERROR(INDEX('Sign-ups'!$AJ$2:$AJ$301,MATCH(137,'Sign-ups'!$AO$2:$AO$301,0)),"")</f>
        <v/>
      </c>
      <c r="I142" s="26">
        <f>IFERROR(INDEX('Sign-ups'!$AN$2:$AN$301,MATCH(137,'Sign-ups'!$AO$2:$AO$301,0)),"")</f>
        <v/>
      </c>
      <c r="J142" s="26">
        <f>IFERROR(INDEX('Sign-ups'!$AA$2:$AA$301,MATCH(137,'Sign-ups'!$AO$2:$AO$301,0))&amp;"","")</f>
        <v/>
      </c>
      <c r="K142" s="27">
        <f>IFERROR(INDEX('Sign-ups'!$AB$2:$AB$301,MATCH(137,'Sign-ups'!$AO$2:$AO$301,0))&amp;"","")</f>
        <v/>
      </c>
    </row>
    <row r="143">
      <c r="A143" s="26">
        <f>IF(ISNUMBER(MATCH(138,'Sign-ups'!$AO$2:$AO$301,0)),138,"")</f>
        <v/>
      </c>
      <c r="B143" s="27">
        <f>IFERROR(INDEX('Sign-ups'!$AE$2:$AE$301,MATCH(138,'Sign-ups'!$AO$2:$AO$301,0)),"")</f>
        <v/>
      </c>
      <c r="C143" s="27">
        <f>IFERROR(INDEX('Sign-ups'!$AF$2:$AF$301,MATCH(138,'Sign-ups'!$AO$2:$AO$301,0)),"")</f>
        <v/>
      </c>
      <c r="D143" s="27">
        <f>IFERROR(INDEX('Sign-ups'!$AG$2:$AG$301,MATCH(138,'Sign-ups'!$AO$2:$AO$301,0)),"")</f>
        <v/>
      </c>
      <c r="E143" s="27">
        <f>IFERROR(INDEX('Sign-ups'!$AH$2:$AH$301,MATCH(138,'Sign-ups'!$AO$2:$AO$301,0)),"")</f>
        <v/>
      </c>
      <c r="F143" s="27">
        <f>IFERROR(INDEX('Sign-ups'!$AI$2:$AI$301,MATCH(138,'Sign-ups'!$AO$2:$AO$301,0)),"")</f>
        <v/>
      </c>
      <c r="G143" s="27">
        <f>IFERROR(INDEX('Sign-ups'!$AK$2:$AK$301,MATCH(138,'Sign-ups'!$AO$2:$AO$301,0)),"")</f>
        <v/>
      </c>
      <c r="H143" s="26">
        <f>IFERROR(INDEX('Sign-ups'!$AJ$2:$AJ$301,MATCH(138,'Sign-ups'!$AO$2:$AO$301,0)),"")</f>
        <v/>
      </c>
      <c r="I143" s="26">
        <f>IFERROR(INDEX('Sign-ups'!$AN$2:$AN$301,MATCH(138,'Sign-ups'!$AO$2:$AO$301,0)),"")</f>
        <v/>
      </c>
      <c r="J143" s="26">
        <f>IFERROR(INDEX('Sign-ups'!$AA$2:$AA$301,MATCH(138,'Sign-ups'!$AO$2:$AO$301,0))&amp;"","")</f>
        <v/>
      </c>
      <c r="K143" s="27">
        <f>IFERROR(INDEX('Sign-ups'!$AB$2:$AB$301,MATCH(138,'Sign-ups'!$AO$2:$AO$301,0))&amp;"","")</f>
        <v/>
      </c>
    </row>
    <row r="144">
      <c r="A144" s="26">
        <f>IF(ISNUMBER(MATCH(139,'Sign-ups'!$AO$2:$AO$301,0)),139,"")</f>
        <v/>
      </c>
      <c r="B144" s="27">
        <f>IFERROR(INDEX('Sign-ups'!$AE$2:$AE$301,MATCH(139,'Sign-ups'!$AO$2:$AO$301,0)),"")</f>
        <v/>
      </c>
      <c r="C144" s="27">
        <f>IFERROR(INDEX('Sign-ups'!$AF$2:$AF$301,MATCH(139,'Sign-ups'!$AO$2:$AO$301,0)),"")</f>
        <v/>
      </c>
      <c r="D144" s="27">
        <f>IFERROR(INDEX('Sign-ups'!$AG$2:$AG$301,MATCH(139,'Sign-ups'!$AO$2:$AO$301,0)),"")</f>
        <v/>
      </c>
      <c r="E144" s="27">
        <f>IFERROR(INDEX('Sign-ups'!$AH$2:$AH$301,MATCH(139,'Sign-ups'!$AO$2:$AO$301,0)),"")</f>
        <v/>
      </c>
      <c r="F144" s="27">
        <f>IFERROR(INDEX('Sign-ups'!$AI$2:$AI$301,MATCH(139,'Sign-ups'!$AO$2:$AO$301,0)),"")</f>
        <v/>
      </c>
      <c r="G144" s="27">
        <f>IFERROR(INDEX('Sign-ups'!$AK$2:$AK$301,MATCH(139,'Sign-ups'!$AO$2:$AO$301,0)),"")</f>
        <v/>
      </c>
      <c r="H144" s="26">
        <f>IFERROR(INDEX('Sign-ups'!$AJ$2:$AJ$301,MATCH(139,'Sign-ups'!$AO$2:$AO$301,0)),"")</f>
        <v/>
      </c>
      <c r="I144" s="26">
        <f>IFERROR(INDEX('Sign-ups'!$AN$2:$AN$301,MATCH(139,'Sign-ups'!$AO$2:$AO$301,0)),"")</f>
        <v/>
      </c>
      <c r="J144" s="26">
        <f>IFERROR(INDEX('Sign-ups'!$AA$2:$AA$301,MATCH(139,'Sign-ups'!$AO$2:$AO$301,0))&amp;"","")</f>
        <v/>
      </c>
      <c r="K144" s="27">
        <f>IFERROR(INDEX('Sign-ups'!$AB$2:$AB$301,MATCH(139,'Sign-ups'!$AO$2:$AO$301,0))&amp;"","")</f>
        <v/>
      </c>
    </row>
    <row r="145">
      <c r="A145" s="26">
        <f>IF(ISNUMBER(MATCH(140,'Sign-ups'!$AO$2:$AO$301,0)),140,"")</f>
        <v/>
      </c>
      <c r="B145" s="27">
        <f>IFERROR(INDEX('Sign-ups'!$AE$2:$AE$301,MATCH(140,'Sign-ups'!$AO$2:$AO$301,0)),"")</f>
        <v/>
      </c>
      <c r="C145" s="27">
        <f>IFERROR(INDEX('Sign-ups'!$AF$2:$AF$301,MATCH(140,'Sign-ups'!$AO$2:$AO$301,0)),"")</f>
        <v/>
      </c>
      <c r="D145" s="27">
        <f>IFERROR(INDEX('Sign-ups'!$AG$2:$AG$301,MATCH(140,'Sign-ups'!$AO$2:$AO$301,0)),"")</f>
        <v/>
      </c>
      <c r="E145" s="27">
        <f>IFERROR(INDEX('Sign-ups'!$AH$2:$AH$301,MATCH(140,'Sign-ups'!$AO$2:$AO$301,0)),"")</f>
        <v/>
      </c>
      <c r="F145" s="27">
        <f>IFERROR(INDEX('Sign-ups'!$AI$2:$AI$301,MATCH(140,'Sign-ups'!$AO$2:$AO$301,0)),"")</f>
        <v/>
      </c>
      <c r="G145" s="27">
        <f>IFERROR(INDEX('Sign-ups'!$AK$2:$AK$301,MATCH(140,'Sign-ups'!$AO$2:$AO$301,0)),"")</f>
        <v/>
      </c>
      <c r="H145" s="26">
        <f>IFERROR(INDEX('Sign-ups'!$AJ$2:$AJ$301,MATCH(140,'Sign-ups'!$AO$2:$AO$301,0)),"")</f>
        <v/>
      </c>
      <c r="I145" s="26">
        <f>IFERROR(INDEX('Sign-ups'!$AN$2:$AN$301,MATCH(140,'Sign-ups'!$AO$2:$AO$301,0)),"")</f>
        <v/>
      </c>
      <c r="J145" s="26">
        <f>IFERROR(INDEX('Sign-ups'!$AA$2:$AA$301,MATCH(140,'Sign-ups'!$AO$2:$AO$301,0))&amp;"","")</f>
        <v/>
      </c>
      <c r="K145" s="27">
        <f>IFERROR(INDEX('Sign-ups'!$AB$2:$AB$301,MATCH(140,'Sign-ups'!$AO$2:$AO$301,0))&amp;"","")</f>
        <v/>
      </c>
    </row>
    <row r="146">
      <c r="A146" s="26">
        <f>IF(ISNUMBER(MATCH(141,'Sign-ups'!$AO$2:$AO$301,0)),141,"")</f>
        <v/>
      </c>
      <c r="B146" s="27">
        <f>IFERROR(INDEX('Sign-ups'!$AE$2:$AE$301,MATCH(141,'Sign-ups'!$AO$2:$AO$301,0)),"")</f>
        <v/>
      </c>
      <c r="C146" s="27">
        <f>IFERROR(INDEX('Sign-ups'!$AF$2:$AF$301,MATCH(141,'Sign-ups'!$AO$2:$AO$301,0)),"")</f>
        <v/>
      </c>
      <c r="D146" s="27">
        <f>IFERROR(INDEX('Sign-ups'!$AG$2:$AG$301,MATCH(141,'Sign-ups'!$AO$2:$AO$301,0)),"")</f>
        <v/>
      </c>
      <c r="E146" s="27">
        <f>IFERROR(INDEX('Sign-ups'!$AH$2:$AH$301,MATCH(141,'Sign-ups'!$AO$2:$AO$301,0)),"")</f>
        <v/>
      </c>
      <c r="F146" s="27">
        <f>IFERROR(INDEX('Sign-ups'!$AI$2:$AI$301,MATCH(141,'Sign-ups'!$AO$2:$AO$301,0)),"")</f>
        <v/>
      </c>
      <c r="G146" s="27">
        <f>IFERROR(INDEX('Sign-ups'!$AK$2:$AK$301,MATCH(141,'Sign-ups'!$AO$2:$AO$301,0)),"")</f>
        <v/>
      </c>
      <c r="H146" s="26">
        <f>IFERROR(INDEX('Sign-ups'!$AJ$2:$AJ$301,MATCH(141,'Sign-ups'!$AO$2:$AO$301,0)),"")</f>
        <v/>
      </c>
      <c r="I146" s="26">
        <f>IFERROR(INDEX('Sign-ups'!$AN$2:$AN$301,MATCH(141,'Sign-ups'!$AO$2:$AO$301,0)),"")</f>
        <v/>
      </c>
      <c r="J146" s="26">
        <f>IFERROR(INDEX('Sign-ups'!$AA$2:$AA$301,MATCH(141,'Sign-ups'!$AO$2:$AO$301,0))&amp;"","")</f>
        <v/>
      </c>
      <c r="K146" s="27">
        <f>IFERROR(INDEX('Sign-ups'!$AB$2:$AB$301,MATCH(141,'Sign-ups'!$AO$2:$AO$301,0))&amp;"","")</f>
        <v/>
      </c>
    </row>
    <row r="147">
      <c r="A147" s="26">
        <f>IF(ISNUMBER(MATCH(142,'Sign-ups'!$AO$2:$AO$301,0)),142,"")</f>
        <v/>
      </c>
      <c r="B147" s="27">
        <f>IFERROR(INDEX('Sign-ups'!$AE$2:$AE$301,MATCH(142,'Sign-ups'!$AO$2:$AO$301,0)),"")</f>
        <v/>
      </c>
      <c r="C147" s="27">
        <f>IFERROR(INDEX('Sign-ups'!$AF$2:$AF$301,MATCH(142,'Sign-ups'!$AO$2:$AO$301,0)),"")</f>
        <v/>
      </c>
      <c r="D147" s="27">
        <f>IFERROR(INDEX('Sign-ups'!$AG$2:$AG$301,MATCH(142,'Sign-ups'!$AO$2:$AO$301,0)),"")</f>
        <v/>
      </c>
      <c r="E147" s="27">
        <f>IFERROR(INDEX('Sign-ups'!$AH$2:$AH$301,MATCH(142,'Sign-ups'!$AO$2:$AO$301,0)),"")</f>
        <v/>
      </c>
      <c r="F147" s="27">
        <f>IFERROR(INDEX('Sign-ups'!$AI$2:$AI$301,MATCH(142,'Sign-ups'!$AO$2:$AO$301,0)),"")</f>
        <v/>
      </c>
      <c r="G147" s="27">
        <f>IFERROR(INDEX('Sign-ups'!$AK$2:$AK$301,MATCH(142,'Sign-ups'!$AO$2:$AO$301,0)),"")</f>
        <v/>
      </c>
      <c r="H147" s="26">
        <f>IFERROR(INDEX('Sign-ups'!$AJ$2:$AJ$301,MATCH(142,'Sign-ups'!$AO$2:$AO$301,0)),"")</f>
        <v/>
      </c>
      <c r="I147" s="26">
        <f>IFERROR(INDEX('Sign-ups'!$AN$2:$AN$301,MATCH(142,'Sign-ups'!$AO$2:$AO$301,0)),"")</f>
        <v/>
      </c>
      <c r="J147" s="26">
        <f>IFERROR(INDEX('Sign-ups'!$AA$2:$AA$301,MATCH(142,'Sign-ups'!$AO$2:$AO$301,0))&amp;"","")</f>
        <v/>
      </c>
      <c r="K147" s="27">
        <f>IFERROR(INDEX('Sign-ups'!$AB$2:$AB$301,MATCH(142,'Sign-ups'!$AO$2:$AO$301,0))&amp;"","")</f>
        <v/>
      </c>
    </row>
    <row r="148">
      <c r="A148" s="26">
        <f>IF(ISNUMBER(MATCH(143,'Sign-ups'!$AO$2:$AO$301,0)),143,"")</f>
        <v/>
      </c>
      <c r="B148" s="27">
        <f>IFERROR(INDEX('Sign-ups'!$AE$2:$AE$301,MATCH(143,'Sign-ups'!$AO$2:$AO$301,0)),"")</f>
        <v/>
      </c>
      <c r="C148" s="27">
        <f>IFERROR(INDEX('Sign-ups'!$AF$2:$AF$301,MATCH(143,'Sign-ups'!$AO$2:$AO$301,0)),"")</f>
        <v/>
      </c>
      <c r="D148" s="27">
        <f>IFERROR(INDEX('Sign-ups'!$AG$2:$AG$301,MATCH(143,'Sign-ups'!$AO$2:$AO$301,0)),"")</f>
        <v/>
      </c>
      <c r="E148" s="27">
        <f>IFERROR(INDEX('Sign-ups'!$AH$2:$AH$301,MATCH(143,'Sign-ups'!$AO$2:$AO$301,0)),"")</f>
        <v/>
      </c>
      <c r="F148" s="27">
        <f>IFERROR(INDEX('Sign-ups'!$AI$2:$AI$301,MATCH(143,'Sign-ups'!$AO$2:$AO$301,0)),"")</f>
        <v/>
      </c>
      <c r="G148" s="27">
        <f>IFERROR(INDEX('Sign-ups'!$AK$2:$AK$301,MATCH(143,'Sign-ups'!$AO$2:$AO$301,0)),"")</f>
        <v/>
      </c>
      <c r="H148" s="26">
        <f>IFERROR(INDEX('Sign-ups'!$AJ$2:$AJ$301,MATCH(143,'Sign-ups'!$AO$2:$AO$301,0)),"")</f>
        <v/>
      </c>
      <c r="I148" s="26">
        <f>IFERROR(INDEX('Sign-ups'!$AN$2:$AN$301,MATCH(143,'Sign-ups'!$AO$2:$AO$301,0)),"")</f>
        <v/>
      </c>
      <c r="J148" s="26">
        <f>IFERROR(INDEX('Sign-ups'!$AA$2:$AA$301,MATCH(143,'Sign-ups'!$AO$2:$AO$301,0))&amp;"","")</f>
        <v/>
      </c>
      <c r="K148" s="27">
        <f>IFERROR(INDEX('Sign-ups'!$AB$2:$AB$301,MATCH(143,'Sign-ups'!$AO$2:$AO$301,0))&amp;"","")</f>
        <v/>
      </c>
    </row>
    <row r="149">
      <c r="A149" s="26">
        <f>IF(ISNUMBER(MATCH(144,'Sign-ups'!$AO$2:$AO$301,0)),144,"")</f>
        <v/>
      </c>
      <c r="B149" s="27">
        <f>IFERROR(INDEX('Sign-ups'!$AE$2:$AE$301,MATCH(144,'Sign-ups'!$AO$2:$AO$301,0)),"")</f>
        <v/>
      </c>
      <c r="C149" s="27">
        <f>IFERROR(INDEX('Sign-ups'!$AF$2:$AF$301,MATCH(144,'Sign-ups'!$AO$2:$AO$301,0)),"")</f>
        <v/>
      </c>
      <c r="D149" s="27">
        <f>IFERROR(INDEX('Sign-ups'!$AG$2:$AG$301,MATCH(144,'Sign-ups'!$AO$2:$AO$301,0)),"")</f>
        <v/>
      </c>
      <c r="E149" s="27">
        <f>IFERROR(INDEX('Sign-ups'!$AH$2:$AH$301,MATCH(144,'Sign-ups'!$AO$2:$AO$301,0)),"")</f>
        <v/>
      </c>
      <c r="F149" s="27">
        <f>IFERROR(INDEX('Sign-ups'!$AI$2:$AI$301,MATCH(144,'Sign-ups'!$AO$2:$AO$301,0)),"")</f>
        <v/>
      </c>
      <c r="G149" s="27">
        <f>IFERROR(INDEX('Sign-ups'!$AK$2:$AK$301,MATCH(144,'Sign-ups'!$AO$2:$AO$301,0)),"")</f>
        <v/>
      </c>
      <c r="H149" s="26">
        <f>IFERROR(INDEX('Sign-ups'!$AJ$2:$AJ$301,MATCH(144,'Sign-ups'!$AO$2:$AO$301,0)),"")</f>
        <v/>
      </c>
      <c r="I149" s="26">
        <f>IFERROR(INDEX('Sign-ups'!$AN$2:$AN$301,MATCH(144,'Sign-ups'!$AO$2:$AO$301,0)),"")</f>
        <v/>
      </c>
      <c r="J149" s="26">
        <f>IFERROR(INDEX('Sign-ups'!$AA$2:$AA$301,MATCH(144,'Sign-ups'!$AO$2:$AO$301,0))&amp;"","")</f>
        <v/>
      </c>
      <c r="K149" s="27">
        <f>IFERROR(INDEX('Sign-ups'!$AB$2:$AB$301,MATCH(144,'Sign-ups'!$AO$2:$AO$301,0))&amp;"","")</f>
        <v/>
      </c>
    </row>
    <row r="150">
      <c r="A150" s="26">
        <f>IF(ISNUMBER(MATCH(145,'Sign-ups'!$AO$2:$AO$301,0)),145,"")</f>
        <v/>
      </c>
      <c r="B150" s="27">
        <f>IFERROR(INDEX('Sign-ups'!$AE$2:$AE$301,MATCH(145,'Sign-ups'!$AO$2:$AO$301,0)),"")</f>
        <v/>
      </c>
      <c r="C150" s="27">
        <f>IFERROR(INDEX('Sign-ups'!$AF$2:$AF$301,MATCH(145,'Sign-ups'!$AO$2:$AO$301,0)),"")</f>
        <v/>
      </c>
      <c r="D150" s="27">
        <f>IFERROR(INDEX('Sign-ups'!$AG$2:$AG$301,MATCH(145,'Sign-ups'!$AO$2:$AO$301,0)),"")</f>
        <v/>
      </c>
      <c r="E150" s="27">
        <f>IFERROR(INDEX('Sign-ups'!$AH$2:$AH$301,MATCH(145,'Sign-ups'!$AO$2:$AO$301,0)),"")</f>
        <v/>
      </c>
      <c r="F150" s="27">
        <f>IFERROR(INDEX('Sign-ups'!$AI$2:$AI$301,MATCH(145,'Sign-ups'!$AO$2:$AO$301,0)),"")</f>
        <v/>
      </c>
      <c r="G150" s="27">
        <f>IFERROR(INDEX('Sign-ups'!$AK$2:$AK$301,MATCH(145,'Sign-ups'!$AO$2:$AO$301,0)),"")</f>
        <v/>
      </c>
      <c r="H150" s="26">
        <f>IFERROR(INDEX('Sign-ups'!$AJ$2:$AJ$301,MATCH(145,'Sign-ups'!$AO$2:$AO$301,0)),"")</f>
        <v/>
      </c>
      <c r="I150" s="26">
        <f>IFERROR(INDEX('Sign-ups'!$AN$2:$AN$301,MATCH(145,'Sign-ups'!$AO$2:$AO$301,0)),"")</f>
        <v/>
      </c>
      <c r="J150" s="26">
        <f>IFERROR(INDEX('Sign-ups'!$AA$2:$AA$301,MATCH(145,'Sign-ups'!$AO$2:$AO$301,0))&amp;"","")</f>
        <v/>
      </c>
      <c r="K150" s="27">
        <f>IFERROR(INDEX('Sign-ups'!$AB$2:$AB$301,MATCH(145,'Sign-ups'!$AO$2:$AO$301,0))&amp;"","")</f>
        <v/>
      </c>
    </row>
    <row r="151">
      <c r="A151" s="26">
        <f>IF(ISNUMBER(MATCH(146,'Sign-ups'!$AO$2:$AO$301,0)),146,"")</f>
        <v/>
      </c>
      <c r="B151" s="27">
        <f>IFERROR(INDEX('Sign-ups'!$AE$2:$AE$301,MATCH(146,'Sign-ups'!$AO$2:$AO$301,0)),"")</f>
        <v/>
      </c>
      <c r="C151" s="27">
        <f>IFERROR(INDEX('Sign-ups'!$AF$2:$AF$301,MATCH(146,'Sign-ups'!$AO$2:$AO$301,0)),"")</f>
        <v/>
      </c>
      <c r="D151" s="27">
        <f>IFERROR(INDEX('Sign-ups'!$AG$2:$AG$301,MATCH(146,'Sign-ups'!$AO$2:$AO$301,0)),"")</f>
        <v/>
      </c>
      <c r="E151" s="27">
        <f>IFERROR(INDEX('Sign-ups'!$AH$2:$AH$301,MATCH(146,'Sign-ups'!$AO$2:$AO$301,0)),"")</f>
        <v/>
      </c>
      <c r="F151" s="27">
        <f>IFERROR(INDEX('Sign-ups'!$AI$2:$AI$301,MATCH(146,'Sign-ups'!$AO$2:$AO$301,0)),"")</f>
        <v/>
      </c>
      <c r="G151" s="27">
        <f>IFERROR(INDEX('Sign-ups'!$AK$2:$AK$301,MATCH(146,'Sign-ups'!$AO$2:$AO$301,0)),"")</f>
        <v/>
      </c>
      <c r="H151" s="26">
        <f>IFERROR(INDEX('Sign-ups'!$AJ$2:$AJ$301,MATCH(146,'Sign-ups'!$AO$2:$AO$301,0)),"")</f>
        <v/>
      </c>
      <c r="I151" s="26">
        <f>IFERROR(INDEX('Sign-ups'!$AN$2:$AN$301,MATCH(146,'Sign-ups'!$AO$2:$AO$301,0)),"")</f>
        <v/>
      </c>
      <c r="J151" s="26">
        <f>IFERROR(INDEX('Sign-ups'!$AA$2:$AA$301,MATCH(146,'Sign-ups'!$AO$2:$AO$301,0))&amp;"","")</f>
        <v/>
      </c>
      <c r="K151" s="27">
        <f>IFERROR(INDEX('Sign-ups'!$AB$2:$AB$301,MATCH(146,'Sign-ups'!$AO$2:$AO$301,0))&amp;"","")</f>
        <v/>
      </c>
    </row>
    <row r="152">
      <c r="A152" s="26">
        <f>IF(ISNUMBER(MATCH(147,'Sign-ups'!$AO$2:$AO$301,0)),147,"")</f>
        <v/>
      </c>
      <c r="B152" s="27">
        <f>IFERROR(INDEX('Sign-ups'!$AE$2:$AE$301,MATCH(147,'Sign-ups'!$AO$2:$AO$301,0)),"")</f>
        <v/>
      </c>
      <c r="C152" s="27">
        <f>IFERROR(INDEX('Sign-ups'!$AF$2:$AF$301,MATCH(147,'Sign-ups'!$AO$2:$AO$301,0)),"")</f>
        <v/>
      </c>
      <c r="D152" s="27">
        <f>IFERROR(INDEX('Sign-ups'!$AG$2:$AG$301,MATCH(147,'Sign-ups'!$AO$2:$AO$301,0)),"")</f>
        <v/>
      </c>
      <c r="E152" s="27">
        <f>IFERROR(INDEX('Sign-ups'!$AH$2:$AH$301,MATCH(147,'Sign-ups'!$AO$2:$AO$301,0)),"")</f>
        <v/>
      </c>
      <c r="F152" s="27">
        <f>IFERROR(INDEX('Sign-ups'!$AI$2:$AI$301,MATCH(147,'Sign-ups'!$AO$2:$AO$301,0)),"")</f>
        <v/>
      </c>
      <c r="G152" s="27">
        <f>IFERROR(INDEX('Sign-ups'!$AK$2:$AK$301,MATCH(147,'Sign-ups'!$AO$2:$AO$301,0)),"")</f>
        <v/>
      </c>
      <c r="H152" s="26">
        <f>IFERROR(INDEX('Sign-ups'!$AJ$2:$AJ$301,MATCH(147,'Sign-ups'!$AO$2:$AO$301,0)),"")</f>
        <v/>
      </c>
      <c r="I152" s="26">
        <f>IFERROR(INDEX('Sign-ups'!$AN$2:$AN$301,MATCH(147,'Sign-ups'!$AO$2:$AO$301,0)),"")</f>
        <v/>
      </c>
      <c r="J152" s="26">
        <f>IFERROR(INDEX('Sign-ups'!$AA$2:$AA$301,MATCH(147,'Sign-ups'!$AO$2:$AO$301,0))&amp;"","")</f>
        <v/>
      </c>
      <c r="K152" s="27">
        <f>IFERROR(INDEX('Sign-ups'!$AB$2:$AB$301,MATCH(147,'Sign-ups'!$AO$2:$AO$301,0))&amp;"","")</f>
        <v/>
      </c>
    </row>
    <row r="153">
      <c r="A153" s="26">
        <f>IF(ISNUMBER(MATCH(148,'Sign-ups'!$AO$2:$AO$301,0)),148,"")</f>
        <v/>
      </c>
      <c r="B153" s="27">
        <f>IFERROR(INDEX('Sign-ups'!$AE$2:$AE$301,MATCH(148,'Sign-ups'!$AO$2:$AO$301,0)),"")</f>
        <v/>
      </c>
      <c r="C153" s="27">
        <f>IFERROR(INDEX('Sign-ups'!$AF$2:$AF$301,MATCH(148,'Sign-ups'!$AO$2:$AO$301,0)),"")</f>
        <v/>
      </c>
      <c r="D153" s="27">
        <f>IFERROR(INDEX('Sign-ups'!$AG$2:$AG$301,MATCH(148,'Sign-ups'!$AO$2:$AO$301,0)),"")</f>
        <v/>
      </c>
      <c r="E153" s="27">
        <f>IFERROR(INDEX('Sign-ups'!$AH$2:$AH$301,MATCH(148,'Sign-ups'!$AO$2:$AO$301,0)),"")</f>
        <v/>
      </c>
      <c r="F153" s="27">
        <f>IFERROR(INDEX('Sign-ups'!$AI$2:$AI$301,MATCH(148,'Sign-ups'!$AO$2:$AO$301,0)),"")</f>
        <v/>
      </c>
      <c r="G153" s="27">
        <f>IFERROR(INDEX('Sign-ups'!$AK$2:$AK$301,MATCH(148,'Sign-ups'!$AO$2:$AO$301,0)),"")</f>
        <v/>
      </c>
      <c r="H153" s="26">
        <f>IFERROR(INDEX('Sign-ups'!$AJ$2:$AJ$301,MATCH(148,'Sign-ups'!$AO$2:$AO$301,0)),"")</f>
        <v/>
      </c>
      <c r="I153" s="26">
        <f>IFERROR(INDEX('Sign-ups'!$AN$2:$AN$301,MATCH(148,'Sign-ups'!$AO$2:$AO$301,0)),"")</f>
        <v/>
      </c>
      <c r="J153" s="26">
        <f>IFERROR(INDEX('Sign-ups'!$AA$2:$AA$301,MATCH(148,'Sign-ups'!$AO$2:$AO$301,0))&amp;"","")</f>
        <v/>
      </c>
      <c r="K153" s="27">
        <f>IFERROR(INDEX('Sign-ups'!$AB$2:$AB$301,MATCH(148,'Sign-ups'!$AO$2:$AO$301,0))&amp;"","")</f>
        <v/>
      </c>
    </row>
    <row r="154">
      <c r="A154" s="26">
        <f>IF(ISNUMBER(MATCH(149,'Sign-ups'!$AO$2:$AO$301,0)),149,"")</f>
        <v/>
      </c>
      <c r="B154" s="27">
        <f>IFERROR(INDEX('Sign-ups'!$AE$2:$AE$301,MATCH(149,'Sign-ups'!$AO$2:$AO$301,0)),"")</f>
        <v/>
      </c>
      <c r="C154" s="27">
        <f>IFERROR(INDEX('Sign-ups'!$AF$2:$AF$301,MATCH(149,'Sign-ups'!$AO$2:$AO$301,0)),"")</f>
        <v/>
      </c>
      <c r="D154" s="27">
        <f>IFERROR(INDEX('Sign-ups'!$AG$2:$AG$301,MATCH(149,'Sign-ups'!$AO$2:$AO$301,0)),"")</f>
        <v/>
      </c>
      <c r="E154" s="27">
        <f>IFERROR(INDEX('Sign-ups'!$AH$2:$AH$301,MATCH(149,'Sign-ups'!$AO$2:$AO$301,0)),"")</f>
        <v/>
      </c>
      <c r="F154" s="27">
        <f>IFERROR(INDEX('Sign-ups'!$AI$2:$AI$301,MATCH(149,'Sign-ups'!$AO$2:$AO$301,0)),"")</f>
        <v/>
      </c>
      <c r="G154" s="27">
        <f>IFERROR(INDEX('Sign-ups'!$AK$2:$AK$301,MATCH(149,'Sign-ups'!$AO$2:$AO$301,0)),"")</f>
        <v/>
      </c>
      <c r="H154" s="26">
        <f>IFERROR(INDEX('Sign-ups'!$AJ$2:$AJ$301,MATCH(149,'Sign-ups'!$AO$2:$AO$301,0)),"")</f>
        <v/>
      </c>
      <c r="I154" s="26">
        <f>IFERROR(INDEX('Sign-ups'!$AN$2:$AN$301,MATCH(149,'Sign-ups'!$AO$2:$AO$301,0)),"")</f>
        <v/>
      </c>
      <c r="J154" s="26">
        <f>IFERROR(INDEX('Sign-ups'!$AA$2:$AA$301,MATCH(149,'Sign-ups'!$AO$2:$AO$301,0))&amp;"","")</f>
        <v/>
      </c>
      <c r="K154" s="27">
        <f>IFERROR(INDEX('Sign-ups'!$AB$2:$AB$301,MATCH(149,'Sign-ups'!$AO$2:$AO$301,0))&amp;"","")</f>
        <v/>
      </c>
    </row>
    <row r="155">
      <c r="A155" s="26">
        <f>IF(ISNUMBER(MATCH(150,'Sign-ups'!$AO$2:$AO$301,0)),150,"")</f>
        <v/>
      </c>
      <c r="B155" s="27">
        <f>IFERROR(INDEX('Sign-ups'!$AE$2:$AE$301,MATCH(150,'Sign-ups'!$AO$2:$AO$301,0)),"")</f>
        <v/>
      </c>
      <c r="C155" s="27">
        <f>IFERROR(INDEX('Sign-ups'!$AF$2:$AF$301,MATCH(150,'Sign-ups'!$AO$2:$AO$301,0)),"")</f>
        <v/>
      </c>
      <c r="D155" s="27">
        <f>IFERROR(INDEX('Sign-ups'!$AG$2:$AG$301,MATCH(150,'Sign-ups'!$AO$2:$AO$301,0)),"")</f>
        <v/>
      </c>
      <c r="E155" s="27">
        <f>IFERROR(INDEX('Sign-ups'!$AH$2:$AH$301,MATCH(150,'Sign-ups'!$AO$2:$AO$301,0)),"")</f>
        <v/>
      </c>
      <c r="F155" s="27">
        <f>IFERROR(INDEX('Sign-ups'!$AI$2:$AI$301,MATCH(150,'Sign-ups'!$AO$2:$AO$301,0)),"")</f>
        <v/>
      </c>
      <c r="G155" s="27">
        <f>IFERROR(INDEX('Sign-ups'!$AK$2:$AK$301,MATCH(150,'Sign-ups'!$AO$2:$AO$301,0)),"")</f>
        <v/>
      </c>
      <c r="H155" s="26">
        <f>IFERROR(INDEX('Sign-ups'!$AJ$2:$AJ$301,MATCH(150,'Sign-ups'!$AO$2:$AO$301,0)),"")</f>
        <v/>
      </c>
      <c r="I155" s="26">
        <f>IFERROR(INDEX('Sign-ups'!$AN$2:$AN$301,MATCH(150,'Sign-ups'!$AO$2:$AO$301,0)),"")</f>
        <v/>
      </c>
      <c r="J155" s="26">
        <f>IFERROR(INDEX('Sign-ups'!$AA$2:$AA$301,MATCH(150,'Sign-ups'!$AO$2:$AO$301,0))&amp;"","")</f>
        <v/>
      </c>
      <c r="K155" s="27">
        <f>IFERROR(INDEX('Sign-ups'!$AB$2:$AB$301,MATCH(150,'Sign-ups'!$AO$2:$AO$301,0))&amp;"","")</f>
        <v/>
      </c>
    </row>
    <row r="156">
      <c r="A156" s="26">
        <f>IF(ISNUMBER(MATCH(151,'Sign-ups'!$AO$2:$AO$301,0)),151,"")</f>
        <v/>
      </c>
      <c r="B156" s="27">
        <f>IFERROR(INDEX('Sign-ups'!$AE$2:$AE$301,MATCH(151,'Sign-ups'!$AO$2:$AO$301,0)),"")</f>
        <v/>
      </c>
      <c r="C156" s="27">
        <f>IFERROR(INDEX('Sign-ups'!$AF$2:$AF$301,MATCH(151,'Sign-ups'!$AO$2:$AO$301,0)),"")</f>
        <v/>
      </c>
      <c r="D156" s="27">
        <f>IFERROR(INDEX('Sign-ups'!$AG$2:$AG$301,MATCH(151,'Sign-ups'!$AO$2:$AO$301,0)),"")</f>
        <v/>
      </c>
      <c r="E156" s="27">
        <f>IFERROR(INDEX('Sign-ups'!$AH$2:$AH$301,MATCH(151,'Sign-ups'!$AO$2:$AO$301,0)),"")</f>
        <v/>
      </c>
      <c r="F156" s="27">
        <f>IFERROR(INDEX('Sign-ups'!$AI$2:$AI$301,MATCH(151,'Sign-ups'!$AO$2:$AO$301,0)),"")</f>
        <v/>
      </c>
      <c r="G156" s="27">
        <f>IFERROR(INDEX('Sign-ups'!$AK$2:$AK$301,MATCH(151,'Sign-ups'!$AO$2:$AO$301,0)),"")</f>
        <v/>
      </c>
      <c r="H156" s="26">
        <f>IFERROR(INDEX('Sign-ups'!$AJ$2:$AJ$301,MATCH(151,'Sign-ups'!$AO$2:$AO$301,0)),"")</f>
        <v/>
      </c>
      <c r="I156" s="26">
        <f>IFERROR(INDEX('Sign-ups'!$AN$2:$AN$301,MATCH(151,'Sign-ups'!$AO$2:$AO$301,0)),"")</f>
        <v/>
      </c>
      <c r="J156" s="26">
        <f>IFERROR(INDEX('Sign-ups'!$AA$2:$AA$301,MATCH(151,'Sign-ups'!$AO$2:$AO$301,0))&amp;"","")</f>
        <v/>
      </c>
      <c r="K156" s="27">
        <f>IFERROR(INDEX('Sign-ups'!$AB$2:$AB$301,MATCH(151,'Sign-ups'!$AO$2:$AO$301,0))&amp;"","")</f>
        <v/>
      </c>
    </row>
    <row r="157">
      <c r="A157" s="26">
        <f>IF(ISNUMBER(MATCH(152,'Sign-ups'!$AO$2:$AO$301,0)),152,"")</f>
        <v/>
      </c>
      <c r="B157" s="27">
        <f>IFERROR(INDEX('Sign-ups'!$AE$2:$AE$301,MATCH(152,'Sign-ups'!$AO$2:$AO$301,0)),"")</f>
        <v/>
      </c>
      <c r="C157" s="27">
        <f>IFERROR(INDEX('Sign-ups'!$AF$2:$AF$301,MATCH(152,'Sign-ups'!$AO$2:$AO$301,0)),"")</f>
        <v/>
      </c>
      <c r="D157" s="27">
        <f>IFERROR(INDEX('Sign-ups'!$AG$2:$AG$301,MATCH(152,'Sign-ups'!$AO$2:$AO$301,0)),"")</f>
        <v/>
      </c>
      <c r="E157" s="27">
        <f>IFERROR(INDEX('Sign-ups'!$AH$2:$AH$301,MATCH(152,'Sign-ups'!$AO$2:$AO$301,0)),"")</f>
        <v/>
      </c>
      <c r="F157" s="27">
        <f>IFERROR(INDEX('Sign-ups'!$AI$2:$AI$301,MATCH(152,'Sign-ups'!$AO$2:$AO$301,0)),"")</f>
        <v/>
      </c>
      <c r="G157" s="27">
        <f>IFERROR(INDEX('Sign-ups'!$AK$2:$AK$301,MATCH(152,'Sign-ups'!$AO$2:$AO$301,0)),"")</f>
        <v/>
      </c>
      <c r="H157" s="26">
        <f>IFERROR(INDEX('Sign-ups'!$AJ$2:$AJ$301,MATCH(152,'Sign-ups'!$AO$2:$AO$301,0)),"")</f>
        <v/>
      </c>
      <c r="I157" s="26">
        <f>IFERROR(INDEX('Sign-ups'!$AN$2:$AN$301,MATCH(152,'Sign-ups'!$AO$2:$AO$301,0)),"")</f>
        <v/>
      </c>
      <c r="J157" s="26">
        <f>IFERROR(INDEX('Sign-ups'!$AA$2:$AA$301,MATCH(152,'Sign-ups'!$AO$2:$AO$301,0))&amp;"","")</f>
        <v/>
      </c>
      <c r="K157" s="27">
        <f>IFERROR(INDEX('Sign-ups'!$AB$2:$AB$301,MATCH(152,'Sign-ups'!$AO$2:$AO$301,0))&amp;"","")</f>
        <v/>
      </c>
    </row>
    <row r="158">
      <c r="A158" s="26">
        <f>IF(ISNUMBER(MATCH(153,'Sign-ups'!$AO$2:$AO$301,0)),153,"")</f>
        <v/>
      </c>
      <c r="B158" s="27">
        <f>IFERROR(INDEX('Sign-ups'!$AE$2:$AE$301,MATCH(153,'Sign-ups'!$AO$2:$AO$301,0)),"")</f>
        <v/>
      </c>
      <c r="C158" s="27">
        <f>IFERROR(INDEX('Sign-ups'!$AF$2:$AF$301,MATCH(153,'Sign-ups'!$AO$2:$AO$301,0)),"")</f>
        <v/>
      </c>
      <c r="D158" s="27">
        <f>IFERROR(INDEX('Sign-ups'!$AG$2:$AG$301,MATCH(153,'Sign-ups'!$AO$2:$AO$301,0)),"")</f>
        <v/>
      </c>
      <c r="E158" s="27">
        <f>IFERROR(INDEX('Sign-ups'!$AH$2:$AH$301,MATCH(153,'Sign-ups'!$AO$2:$AO$301,0)),"")</f>
        <v/>
      </c>
      <c r="F158" s="27">
        <f>IFERROR(INDEX('Sign-ups'!$AI$2:$AI$301,MATCH(153,'Sign-ups'!$AO$2:$AO$301,0)),"")</f>
        <v/>
      </c>
      <c r="G158" s="27">
        <f>IFERROR(INDEX('Sign-ups'!$AK$2:$AK$301,MATCH(153,'Sign-ups'!$AO$2:$AO$301,0)),"")</f>
        <v/>
      </c>
      <c r="H158" s="26">
        <f>IFERROR(INDEX('Sign-ups'!$AJ$2:$AJ$301,MATCH(153,'Sign-ups'!$AO$2:$AO$301,0)),"")</f>
        <v/>
      </c>
      <c r="I158" s="26">
        <f>IFERROR(INDEX('Sign-ups'!$AN$2:$AN$301,MATCH(153,'Sign-ups'!$AO$2:$AO$301,0)),"")</f>
        <v/>
      </c>
      <c r="J158" s="26">
        <f>IFERROR(INDEX('Sign-ups'!$AA$2:$AA$301,MATCH(153,'Sign-ups'!$AO$2:$AO$301,0))&amp;"","")</f>
        <v/>
      </c>
      <c r="K158" s="27">
        <f>IFERROR(INDEX('Sign-ups'!$AB$2:$AB$301,MATCH(153,'Sign-ups'!$AO$2:$AO$301,0))&amp;"","")</f>
        <v/>
      </c>
    </row>
    <row r="159">
      <c r="A159" s="26">
        <f>IF(ISNUMBER(MATCH(154,'Sign-ups'!$AO$2:$AO$301,0)),154,"")</f>
        <v/>
      </c>
      <c r="B159" s="27">
        <f>IFERROR(INDEX('Sign-ups'!$AE$2:$AE$301,MATCH(154,'Sign-ups'!$AO$2:$AO$301,0)),"")</f>
        <v/>
      </c>
      <c r="C159" s="27">
        <f>IFERROR(INDEX('Sign-ups'!$AF$2:$AF$301,MATCH(154,'Sign-ups'!$AO$2:$AO$301,0)),"")</f>
        <v/>
      </c>
      <c r="D159" s="27">
        <f>IFERROR(INDEX('Sign-ups'!$AG$2:$AG$301,MATCH(154,'Sign-ups'!$AO$2:$AO$301,0)),"")</f>
        <v/>
      </c>
      <c r="E159" s="27">
        <f>IFERROR(INDEX('Sign-ups'!$AH$2:$AH$301,MATCH(154,'Sign-ups'!$AO$2:$AO$301,0)),"")</f>
        <v/>
      </c>
      <c r="F159" s="27">
        <f>IFERROR(INDEX('Sign-ups'!$AI$2:$AI$301,MATCH(154,'Sign-ups'!$AO$2:$AO$301,0)),"")</f>
        <v/>
      </c>
      <c r="G159" s="27">
        <f>IFERROR(INDEX('Sign-ups'!$AK$2:$AK$301,MATCH(154,'Sign-ups'!$AO$2:$AO$301,0)),"")</f>
        <v/>
      </c>
      <c r="H159" s="26">
        <f>IFERROR(INDEX('Sign-ups'!$AJ$2:$AJ$301,MATCH(154,'Sign-ups'!$AO$2:$AO$301,0)),"")</f>
        <v/>
      </c>
      <c r="I159" s="26">
        <f>IFERROR(INDEX('Sign-ups'!$AN$2:$AN$301,MATCH(154,'Sign-ups'!$AO$2:$AO$301,0)),"")</f>
        <v/>
      </c>
      <c r="J159" s="26">
        <f>IFERROR(INDEX('Sign-ups'!$AA$2:$AA$301,MATCH(154,'Sign-ups'!$AO$2:$AO$301,0))&amp;"","")</f>
        <v/>
      </c>
      <c r="K159" s="27">
        <f>IFERROR(INDEX('Sign-ups'!$AB$2:$AB$301,MATCH(154,'Sign-ups'!$AO$2:$AO$301,0))&amp;"","")</f>
        <v/>
      </c>
    </row>
    <row r="160">
      <c r="A160" s="26">
        <f>IF(ISNUMBER(MATCH(155,'Sign-ups'!$AO$2:$AO$301,0)),155,"")</f>
        <v/>
      </c>
      <c r="B160" s="27">
        <f>IFERROR(INDEX('Sign-ups'!$AE$2:$AE$301,MATCH(155,'Sign-ups'!$AO$2:$AO$301,0)),"")</f>
        <v/>
      </c>
      <c r="C160" s="27">
        <f>IFERROR(INDEX('Sign-ups'!$AF$2:$AF$301,MATCH(155,'Sign-ups'!$AO$2:$AO$301,0)),"")</f>
        <v/>
      </c>
      <c r="D160" s="27">
        <f>IFERROR(INDEX('Sign-ups'!$AG$2:$AG$301,MATCH(155,'Sign-ups'!$AO$2:$AO$301,0)),"")</f>
        <v/>
      </c>
      <c r="E160" s="27">
        <f>IFERROR(INDEX('Sign-ups'!$AH$2:$AH$301,MATCH(155,'Sign-ups'!$AO$2:$AO$301,0)),"")</f>
        <v/>
      </c>
      <c r="F160" s="27">
        <f>IFERROR(INDEX('Sign-ups'!$AI$2:$AI$301,MATCH(155,'Sign-ups'!$AO$2:$AO$301,0)),"")</f>
        <v/>
      </c>
      <c r="G160" s="27">
        <f>IFERROR(INDEX('Sign-ups'!$AK$2:$AK$301,MATCH(155,'Sign-ups'!$AO$2:$AO$301,0)),"")</f>
        <v/>
      </c>
      <c r="H160" s="26">
        <f>IFERROR(INDEX('Sign-ups'!$AJ$2:$AJ$301,MATCH(155,'Sign-ups'!$AO$2:$AO$301,0)),"")</f>
        <v/>
      </c>
      <c r="I160" s="26">
        <f>IFERROR(INDEX('Sign-ups'!$AN$2:$AN$301,MATCH(155,'Sign-ups'!$AO$2:$AO$301,0)),"")</f>
        <v/>
      </c>
      <c r="J160" s="26">
        <f>IFERROR(INDEX('Sign-ups'!$AA$2:$AA$301,MATCH(155,'Sign-ups'!$AO$2:$AO$301,0))&amp;"","")</f>
        <v/>
      </c>
      <c r="K160" s="27">
        <f>IFERROR(INDEX('Sign-ups'!$AB$2:$AB$301,MATCH(155,'Sign-ups'!$AO$2:$AO$301,0))&amp;"","")</f>
        <v/>
      </c>
    </row>
    <row r="161">
      <c r="A161" s="26">
        <f>IF(ISNUMBER(MATCH(156,'Sign-ups'!$AO$2:$AO$301,0)),156,"")</f>
        <v/>
      </c>
      <c r="B161" s="27">
        <f>IFERROR(INDEX('Sign-ups'!$AE$2:$AE$301,MATCH(156,'Sign-ups'!$AO$2:$AO$301,0)),"")</f>
        <v/>
      </c>
      <c r="C161" s="27">
        <f>IFERROR(INDEX('Sign-ups'!$AF$2:$AF$301,MATCH(156,'Sign-ups'!$AO$2:$AO$301,0)),"")</f>
        <v/>
      </c>
      <c r="D161" s="27">
        <f>IFERROR(INDEX('Sign-ups'!$AG$2:$AG$301,MATCH(156,'Sign-ups'!$AO$2:$AO$301,0)),"")</f>
        <v/>
      </c>
      <c r="E161" s="27">
        <f>IFERROR(INDEX('Sign-ups'!$AH$2:$AH$301,MATCH(156,'Sign-ups'!$AO$2:$AO$301,0)),"")</f>
        <v/>
      </c>
      <c r="F161" s="27">
        <f>IFERROR(INDEX('Sign-ups'!$AI$2:$AI$301,MATCH(156,'Sign-ups'!$AO$2:$AO$301,0)),"")</f>
        <v/>
      </c>
      <c r="G161" s="27">
        <f>IFERROR(INDEX('Sign-ups'!$AK$2:$AK$301,MATCH(156,'Sign-ups'!$AO$2:$AO$301,0)),"")</f>
        <v/>
      </c>
      <c r="H161" s="26">
        <f>IFERROR(INDEX('Sign-ups'!$AJ$2:$AJ$301,MATCH(156,'Sign-ups'!$AO$2:$AO$301,0)),"")</f>
        <v/>
      </c>
      <c r="I161" s="26">
        <f>IFERROR(INDEX('Sign-ups'!$AN$2:$AN$301,MATCH(156,'Sign-ups'!$AO$2:$AO$301,0)),"")</f>
        <v/>
      </c>
      <c r="J161" s="26">
        <f>IFERROR(INDEX('Sign-ups'!$AA$2:$AA$301,MATCH(156,'Sign-ups'!$AO$2:$AO$301,0))&amp;"","")</f>
        <v/>
      </c>
      <c r="K161" s="27">
        <f>IFERROR(INDEX('Sign-ups'!$AB$2:$AB$301,MATCH(156,'Sign-ups'!$AO$2:$AO$301,0))&amp;"","")</f>
        <v/>
      </c>
    </row>
    <row r="162">
      <c r="A162" s="26">
        <f>IF(ISNUMBER(MATCH(157,'Sign-ups'!$AO$2:$AO$301,0)),157,"")</f>
        <v/>
      </c>
      <c r="B162" s="27">
        <f>IFERROR(INDEX('Sign-ups'!$AE$2:$AE$301,MATCH(157,'Sign-ups'!$AO$2:$AO$301,0)),"")</f>
        <v/>
      </c>
      <c r="C162" s="27">
        <f>IFERROR(INDEX('Sign-ups'!$AF$2:$AF$301,MATCH(157,'Sign-ups'!$AO$2:$AO$301,0)),"")</f>
        <v/>
      </c>
      <c r="D162" s="27">
        <f>IFERROR(INDEX('Sign-ups'!$AG$2:$AG$301,MATCH(157,'Sign-ups'!$AO$2:$AO$301,0)),"")</f>
        <v/>
      </c>
      <c r="E162" s="27">
        <f>IFERROR(INDEX('Sign-ups'!$AH$2:$AH$301,MATCH(157,'Sign-ups'!$AO$2:$AO$301,0)),"")</f>
        <v/>
      </c>
      <c r="F162" s="27">
        <f>IFERROR(INDEX('Sign-ups'!$AI$2:$AI$301,MATCH(157,'Sign-ups'!$AO$2:$AO$301,0)),"")</f>
        <v/>
      </c>
      <c r="G162" s="27">
        <f>IFERROR(INDEX('Sign-ups'!$AK$2:$AK$301,MATCH(157,'Sign-ups'!$AO$2:$AO$301,0)),"")</f>
        <v/>
      </c>
      <c r="H162" s="26">
        <f>IFERROR(INDEX('Sign-ups'!$AJ$2:$AJ$301,MATCH(157,'Sign-ups'!$AO$2:$AO$301,0)),"")</f>
        <v/>
      </c>
      <c r="I162" s="26">
        <f>IFERROR(INDEX('Sign-ups'!$AN$2:$AN$301,MATCH(157,'Sign-ups'!$AO$2:$AO$301,0)),"")</f>
        <v/>
      </c>
      <c r="J162" s="26">
        <f>IFERROR(INDEX('Sign-ups'!$AA$2:$AA$301,MATCH(157,'Sign-ups'!$AO$2:$AO$301,0))&amp;"","")</f>
        <v/>
      </c>
      <c r="K162" s="27">
        <f>IFERROR(INDEX('Sign-ups'!$AB$2:$AB$301,MATCH(157,'Sign-ups'!$AO$2:$AO$301,0))&amp;"","")</f>
        <v/>
      </c>
    </row>
    <row r="163">
      <c r="A163" s="26">
        <f>IF(ISNUMBER(MATCH(158,'Sign-ups'!$AO$2:$AO$301,0)),158,"")</f>
        <v/>
      </c>
      <c r="B163" s="27">
        <f>IFERROR(INDEX('Sign-ups'!$AE$2:$AE$301,MATCH(158,'Sign-ups'!$AO$2:$AO$301,0)),"")</f>
        <v/>
      </c>
      <c r="C163" s="27">
        <f>IFERROR(INDEX('Sign-ups'!$AF$2:$AF$301,MATCH(158,'Sign-ups'!$AO$2:$AO$301,0)),"")</f>
        <v/>
      </c>
      <c r="D163" s="27">
        <f>IFERROR(INDEX('Sign-ups'!$AG$2:$AG$301,MATCH(158,'Sign-ups'!$AO$2:$AO$301,0)),"")</f>
        <v/>
      </c>
      <c r="E163" s="27">
        <f>IFERROR(INDEX('Sign-ups'!$AH$2:$AH$301,MATCH(158,'Sign-ups'!$AO$2:$AO$301,0)),"")</f>
        <v/>
      </c>
      <c r="F163" s="27">
        <f>IFERROR(INDEX('Sign-ups'!$AI$2:$AI$301,MATCH(158,'Sign-ups'!$AO$2:$AO$301,0)),"")</f>
        <v/>
      </c>
      <c r="G163" s="27">
        <f>IFERROR(INDEX('Sign-ups'!$AK$2:$AK$301,MATCH(158,'Sign-ups'!$AO$2:$AO$301,0)),"")</f>
        <v/>
      </c>
      <c r="H163" s="26">
        <f>IFERROR(INDEX('Sign-ups'!$AJ$2:$AJ$301,MATCH(158,'Sign-ups'!$AO$2:$AO$301,0)),"")</f>
        <v/>
      </c>
      <c r="I163" s="26">
        <f>IFERROR(INDEX('Sign-ups'!$AN$2:$AN$301,MATCH(158,'Sign-ups'!$AO$2:$AO$301,0)),"")</f>
        <v/>
      </c>
      <c r="J163" s="26">
        <f>IFERROR(INDEX('Sign-ups'!$AA$2:$AA$301,MATCH(158,'Sign-ups'!$AO$2:$AO$301,0))&amp;"","")</f>
        <v/>
      </c>
      <c r="K163" s="27">
        <f>IFERROR(INDEX('Sign-ups'!$AB$2:$AB$301,MATCH(158,'Sign-ups'!$AO$2:$AO$301,0))&amp;"","")</f>
        <v/>
      </c>
    </row>
    <row r="164">
      <c r="A164" s="26">
        <f>IF(ISNUMBER(MATCH(159,'Sign-ups'!$AO$2:$AO$301,0)),159,"")</f>
        <v/>
      </c>
      <c r="B164" s="27">
        <f>IFERROR(INDEX('Sign-ups'!$AE$2:$AE$301,MATCH(159,'Sign-ups'!$AO$2:$AO$301,0)),"")</f>
        <v/>
      </c>
      <c r="C164" s="27">
        <f>IFERROR(INDEX('Sign-ups'!$AF$2:$AF$301,MATCH(159,'Sign-ups'!$AO$2:$AO$301,0)),"")</f>
        <v/>
      </c>
      <c r="D164" s="27">
        <f>IFERROR(INDEX('Sign-ups'!$AG$2:$AG$301,MATCH(159,'Sign-ups'!$AO$2:$AO$301,0)),"")</f>
        <v/>
      </c>
      <c r="E164" s="27">
        <f>IFERROR(INDEX('Sign-ups'!$AH$2:$AH$301,MATCH(159,'Sign-ups'!$AO$2:$AO$301,0)),"")</f>
        <v/>
      </c>
      <c r="F164" s="27">
        <f>IFERROR(INDEX('Sign-ups'!$AI$2:$AI$301,MATCH(159,'Sign-ups'!$AO$2:$AO$301,0)),"")</f>
        <v/>
      </c>
      <c r="G164" s="27">
        <f>IFERROR(INDEX('Sign-ups'!$AK$2:$AK$301,MATCH(159,'Sign-ups'!$AO$2:$AO$301,0)),"")</f>
        <v/>
      </c>
      <c r="H164" s="26">
        <f>IFERROR(INDEX('Sign-ups'!$AJ$2:$AJ$301,MATCH(159,'Sign-ups'!$AO$2:$AO$301,0)),"")</f>
        <v/>
      </c>
      <c r="I164" s="26">
        <f>IFERROR(INDEX('Sign-ups'!$AN$2:$AN$301,MATCH(159,'Sign-ups'!$AO$2:$AO$301,0)),"")</f>
        <v/>
      </c>
      <c r="J164" s="26">
        <f>IFERROR(INDEX('Sign-ups'!$AA$2:$AA$301,MATCH(159,'Sign-ups'!$AO$2:$AO$301,0))&amp;"","")</f>
        <v/>
      </c>
      <c r="K164" s="27">
        <f>IFERROR(INDEX('Sign-ups'!$AB$2:$AB$301,MATCH(159,'Sign-ups'!$AO$2:$AO$301,0))&amp;"","")</f>
        <v/>
      </c>
    </row>
    <row r="165">
      <c r="A165" s="26">
        <f>IF(ISNUMBER(MATCH(160,'Sign-ups'!$AO$2:$AO$301,0)),160,"")</f>
        <v/>
      </c>
      <c r="B165" s="27">
        <f>IFERROR(INDEX('Sign-ups'!$AE$2:$AE$301,MATCH(160,'Sign-ups'!$AO$2:$AO$301,0)),"")</f>
        <v/>
      </c>
      <c r="C165" s="27">
        <f>IFERROR(INDEX('Sign-ups'!$AF$2:$AF$301,MATCH(160,'Sign-ups'!$AO$2:$AO$301,0)),"")</f>
        <v/>
      </c>
      <c r="D165" s="27">
        <f>IFERROR(INDEX('Sign-ups'!$AG$2:$AG$301,MATCH(160,'Sign-ups'!$AO$2:$AO$301,0)),"")</f>
        <v/>
      </c>
      <c r="E165" s="27">
        <f>IFERROR(INDEX('Sign-ups'!$AH$2:$AH$301,MATCH(160,'Sign-ups'!$AO$2:$AO$301,0)),"")</f>
        <v/>
      </c>
      <c r="F165" s="27">
        <f>IFERROR(INDEX('Sign-ups'!$AI$2:$AI$301,MATCH(160,'Sign-ups'!$AO$2:$AO$301,0)),"")</f>
        <v/>
      </c>
      <c r="G165" s="27">
        <f>IFERROR(INDEX('Sign-ups'!$AK$2:$AK$301,MATCH(160,'Sign-ups'!$AO$2:$AO$301,0)),"")</f>
        <v/>
      </c>
      <c r="H165" s="26">
        <f>IFERROR(INDEX('Sign-ups'!$AJ$2:$AJ$301,MATCH(160,'Sign-ups'!$AO$2:$AO$301,0)),"")</f>
        <v/>
      </c>
      <c r="I165" s="26">
        <f>IFERROR(INDEX('Sign-ups'!$AN$2:$AN$301,MATCH(160,'Sign-ups'!$AO$2:$AO$301,0)),"")</f>
        <v/>
      </c>
      <c r="J165" s="26">
        <f>IFERROR(INDEX('Sign-ups'!$AA$2:$AA$301,MATCH(160,'Sign-ups'!$AO$2:$AO$301,0))&amp;"","")</f>
        <v/>
      </c>
      <c r="K165" s="27">
        <f>IFERROR(INDEX('Sign-ups'!$AB$2:$AB$301,MATCH(160,'Sign-ups'!$AO$2:$AO$301,0))&amp;"","")</f>
        <v/>
      </c>
    </row>
    <row r="166">
      <c r="A166" s="26">
        <f>IF(ISNUMBER(MATCH(161,'Sign-ups'!$AO$2:$AO$301,0)),161,"")</f>
        <v/>
      </c>
      <c r="B166" s="27">
        <f>IFERROR(INDEX('Sign-ups'!$AE$2:$AE$301,MATCH(161,'Sign-ups'!$AO$2:$AO$301,0)),"")</f>
        <v/>
      </c>
      <c r="C166" s="27">
        <f>IFERROR(INDEX('Sign-ups'!$AF$2:$AF$301,MATCH(161,'Sign-ups'!$AO$2:$AO$301,0)),"")</f>
        <v/>
      </c>
      <c r="D166" s="27">
        <f>IFERROR(INDEX('Sign-ups'!$AG$2:$AG$301,MATCH(161,'Sign-ups'!$AO$2:$AO$301,0)),"")</f>
        <v/>
      </c>
      <c r="E166" s="27">
        <f>IFERROR(INDEX('Sign-ups'!$AH$2:$AH$301,MATCH(161,'Sign-ups'!$AO$2:$AO$301,0)),"")</f>
        <v/>
      </c>
      <c r="F166" s="27">
        <f>IFERROR(INDEX('Sign-ups'!$AI$2:$AI$301,MATCH(161,'Sign-ups'!$AO$2:$AO$301,0)),"")</f>
        <v/>
      </c>
      <c r="G166" s="27">
        <f>IFERROR(INDEX('Sign-ups'!$AK$2:$AK$301,MATCH(161,'Sign-ups'!$AO$2:$AO$301,0)),"")</f>
        <v/>
      </c>
      <c r="H166" s="26">
        <f>IFERROR(INDEX('Sign-ups'!$AJ$2:$AJ$301,MATCH(161,'Sign-ups'!$AO$2:$AO$301,0)),"")</f>
        <v/>
      </c>
      <c r="I166" s="26">
        <f>IFERROR(INDEX('Sign-ups'!$AN$2:$AN$301,MATCH(161,'Sign-ups'!$AO$2:$AO$301,0)),"")</f>
        <v/>
      </c>
      <c r="J166" s="26">
        <f>IFERROR(INDEX('Sign-ups'!$AA$2:$AA$301,MATCH(161,'Sign-ups'!$AO$2:$AO$301,0))&amp;"","")</f>
        <v/>
      </c>
      <c r="K166" s="27">
        <f>IFERROR(INDEX('Sign-ups'!$AB$2:$AB$301,MATCH(161,'Sign-ups'!$AO$2:$AO$301,0))&amp;"","")</f>
        <v/>
      </c>
    </row>
    <row r="167">
      <c r="A167" s="26">
        <f>IF(ISNUMBER(MATCH(162,'Sign-ups'!$AO$2:$AO$301,0)),162,"")</f>
        <v/>
      </c>
      <c r="B167" s="27">
        <f>IFERROR(INDEX('Sign-ups'!$AE$2:$AE$301,MATCH(162,'Sign-ups'!$AO$2:$AO$301,0)),"")</f>
        <v/>
      </c>
      <c r="C167" s="27">
        <f>IFERROR(INDEX('Sign-ups'!$AF$2:$AF$301,MATCH(162,'Sign-ups'!$AO$2:$AO$301,0)),"")</f>
        <v/>
      </c>
      <c r="D167" s="27">
        <f>IFERROR(INDEX('Sign-ups'!$AG$2:$AG$301,MATCH(162,'Sign-ups'!$AO$2:$AO$301,0)),"")</f>
        <v/>
      </c>
      <c r="E167" s="27">
        <f>IFERROR(INDEX('Sign-ups'!$AH$2:$AH$301,MATCH(162,'Sign-ups'!$AO$2:$AO$301,0)),"")</f>
        <v/>
      </c>
      <c r="F167" s="27">
        <f>IFERROR(INDEX('Sign-ups'!$AI$2:$AI$301,MATCH(162,'Sign-ups'!$AO$2:$AO$301,0)),"")</f>
        <v/>
      </c>
      <c r="G167" s="27">
        <f>IFERROR(INDEX('Sign-ups'!$AK$2:$AK$301,MATCH(162,'Sign-ups'!$AO$2:$AO$301,0)),"")</f>
        <v/>
      </c>
      <c r="H167" s="26">
        <f>IFERROR(INDEX('Sign-ups'!$AJ$2:$AJ$301,MATCH(162,'Sign-ups'!$AO$2:$AO$301,0)),"")</f>
        <v/>
      </c>
      <c r="I167" s="26">
        <f>IFERROR(INDEX('Sign-ups'!$AN$2:$AN$301,MATCH(162,'Sign-ups'!$AO$2:$AO$301,0)),"")</f>
        <v/>
      </c>
      <c r="J167" s="26">
        <f>IFERROR(INDEX('Sign-ups'!$AA$2:$AA$301,MATCH(162,'Sign-ups'!$AO$2:$AO$301,0))&amp;"","")</f>
        <v/>
      </c>
      <c r="K167" s="27">
        <f>IFERROR(INDEX('Sign-ups'!$AB$2:$AB$301,MATCH(162,'Sign-ups'!$AO$2:$AO$301,0))&amp;"","")</f>
        <v/>
      </c>
    </row>
    <row r="168">
      <c r="A168" s="26">
        <f>IF(ISNUMBER(MATCH(163,'Sign-ups'!$AO$2:$AO$301,0)),163,"")</f>
        <v/>
      </c>
      <c r="B168" s="27">
        <f>IFERROR(INDEX('Sign-ups'!$AE$2:$AE$301,MATCH(163,'Sign-ups'!$AO$2:$AO$301,0)),"")</f>
        <v/>
      </c>
      <c r="C168" s="27">
        <f>IFERROR(INDEX('Sign-ups'!$AF$2:$AF$301,MATCH(163,'Sign-ups'!$AO$2:$AO$301,0)),"")</f>
        <v/>
      </c>
      <c r="D168" s="27">
        <f>IFERROR(INDEX('Sign-ups'!$AG$2:$AG$301,MATCH(163,'Sign-ups'!$AO$2:$AO$301,0)),"")</f>
        <v/>
      </c>
      <c r="E168" s="27">
        <f>IFERROR(INDEX('Sign-ups'!$AH$2:$AH$301,MATCH(163,'Sign-ups'!$AO$2:$AO$301,0)),"")</f>
        <v/>
      </c>
      <c r="F168" s="27">
        <f>IFERROR(INDEX('Sign-ups'!$AI$2:$AI$301,MATCH(163,'Sign-ups'!$AO$2:$AO$301,0)),"")</f>
        <v/>
      </c>
      <c r="G168" s="27">
        <f>IFERROR(INDEX('Sign-ups'!$AK$2:$AK$301,MATCH(163,'Sign-ups'!$AO$2:$AO$301,0)),"")</f>
        <v/>
      </c>
      <c r="H168" s="26">
        <f>IFERROR(INDEX('Sign-ups'!$AJ$2:$AJ$301,MATCH(163,'Sign-ups'!$AO$2:$AO$301,0)),"")</f>
        <v/>
      </c>
      <c r="I168" s="26">
        <f>IFERROR(INDEX('Sign-ups'!$AN$2:$AN$301,MATCH(163,'Sign-ups'!$AO$2:$AO$301,0)),"")</f>
        <v/>
      </c>
      <c r="J168" s="26">
        <f>IFERROR(INDEX('Sign-ups'!$AA$2:$AA$301,MATCH(163,'Sign-ups'!$AO$2:$AO$301,0))&amp;"","")</f>
        <v/>
      </c>
      <c r="K168" s="27">
        <f>IFERROR(INDEX('Sign-ups'!$AB$2:$AB$301,MATCH(163,'Sign-ups'!$AO$2:$AO$301,0))&amp;"","")</f>
        <v/>
      </c>
    </row>
    <row r="169">
      <c r="A169" s="26">
        <f>IF(ISNUMBER(MATCH(164,'Sign-ups'!$AO$2:$AO$301,0)),164,"")</f>
        <v/>
      </c>
      <c r="B169" s="27">
        <f>IFERROR(INDEX('Sign-ups'!$AE$2:$AE$301,MATCH(164,'Sign-ups'!$AO$2:$AO$301,0)),"")</f>
        <v/>
      </c>
      <c r="C169" s="27">
        <f>IFERROR(INDEX('Sign-ups'!$AF$2:$AF$301,MATCH(164,'Sign-ups'!$AO$2:$AO$301,0)),"")</f>
        <v/>
      </c>
      <c r="D169" s="27">
        <f>IFERROR(INDEX('Sign-ups'!$AG$2:$AG$301,MATCH(164,'Sign-ups'!$AO$2:$AO$301,0)),"")</f>
        <v/>
      </c>
      <c r="E169" s="27">
        <f>IFERROR(INDEX('Sign-ups'!$AH$2:$AH$301,MATCH(164,'Sign-ups'!$AO$2:$AO$301,0)),"")</f>
        <v/>
      </c>
      <c r="F169" s="27">
        <f>IFERROR(INDEX('Sign-ups'!$AI$2:$AI$301,MATCH(164,'Sign-ups'!$AO$2:$AO$301,0)),"")</f>
        <v/>
      </c>
      <c r="G169" s="27">
        <f>IFERROR(INDEX('Sign-ups'!$AK$2:$AK$301,MATCH(164,'Sign-ups'!$AO$2:$AO$301,0)),"")</f>
        <v/>
      </c>
      <c r="H169" s="26">
        <f>IFERROR(INDEX('Sign-ups'!$AJ$2:$AJ$301,MATCH(164,'Sign-ups'!$AO$2:$AO$301,0)),"")</f>
        <v/>
      </c>
      <c r="I169" s="26">
        <f>IFERROR(INDEX('Sign-ups'!$AN$2:$AN$301,MATCH(164,'Sign-ups'!$AO$2:$AO$301,0)),"")</f>
        <v/>
      </c>
      <c r="J169" s="26">
        <f>IFERROR(INDEX('Sign-ups'!$AA$2:$AA$301,MATCH(164,'Sign-ups'!$AO$2:$AO$301,0))&amp;"","")</f>
        <v/>
      </c>
      <c r="K169" s="27">
        <f>IFERROR(INDEX('Sign-ups'!$AB$2:$AB$301,MATCH(164,'Sign-ups'!$AO$2:$AO$301,0))&amp;"","")</f>
        <v/>
      </c>
    </row>
    <row r="170">
      <c r="A170" s="26">
        <f>IF(ISNUMBER(MATCH(165,'Sign-ups'!$AO$2:$AO$301,0)),165,"")</f>
        <v/>
      </c>
      <c r="B170" s="27">
        <f>IFERROR(INDEX('Sign-ups'!$AE$2:$AE$301,MATCH(165,'Sign-ups'!$AO$2:$AO$301,0)),"")</f>
        <v/>
      </c>
      <c r="C170" s="27">
        <f>IFERROR(INDEX('Sign-ups'!$AF$2:$AF$301,MATCH(165,'Sign-ups'!$AO$2:$AO$301,0)),"")</f>
        <v/>
      </c>
      <c r="D170" s="27">
        <f>IFERROR(INDEX('Sign-ups'!$AG$2:$AG$301,MATCH(165,'Sign-ups'!$AO$2:$AO$301,0)),"")</f>
        <v/>
      </c>
      <c r="E170" s="27">
        <f>IFERROR(INDEX('Sign-ups'!$AH$2:$AH$301,MATCH(165,'Sign-ups'!$AO$2:$AO$301,0)),"")</f>
        <v/>
      </c>
      <c r="F170" s="27">
        <f>IFERROR(INDEX('Sign-ups'!$AI$2:$AI$301,MATCH(165,'Sign-ups'!$AO$2:$AO$301,0)),"")</f>
        <v/>
      </c>
      <c r="G170" s="27">
        <f>IFERROR(INDEX('Sign-ups'!$AK$2:$AK$301,MATCH(165,'Sign-ups'!$AO$2:$AO$301,0)),"")</f>
        <v/>
      </c>
      <c r="H170" s="26">
        <f>IFERROR(INDEX('Sign-ups'!$AJ$2:$AJ$301,MATCH(165,'Sign-ups'!$AO$2:$AO$301,0)),"")</f>
        <v/>
      </c>
      <c r="I170" s="26">
        <f>IFERROR(INDEX('Sign-ups'!$AN$2:$AN$301,MATCH(165,'Sign-ups'!$AO$2:$AO$301,0)),"")</f>
        <v/>
      </c>
      <c r="J170" s="26">
        <f>IFERROR(INDEX('Sign-ups'!$AA$2:$AA$301,MATCH(165,'Sign-ups'!$AO$2:$AO$301,0))&amp;"","")</f>
        <v/>
      </c>
      <c r="K170" s="27">
        <f>IFERROR(INDEX('Sign-ups'!$AB$2:$AB$301,MATCH(165,'Sign-ups'!$AO$2:$AO$301,0))&amp;"","")</f>
        <v/>
      </c>
    </row>
    <row r="171">
      <c r="A171" s="26">
        <f>IF(ISNUMBER(MATCH(166,'Sign-ups'!$AO$2:$AO$301,0)),166,"")</f>
        <v/>
      </c>
      <c r="B171" s="27">
        <f>IFERROR(INDEX('Sign-ups'!$AE$2:$AE$301,MATCH(166,'Sign-ups'!$AO$2:$AO$301,0)),"")</f>
        <v/>
      </c>
      <c r="C171" s="27">
        <f>IFERROR(INDEX('Sign-ups'!$AF$2:$AF$301,MATCH(166,'Sign-ups'!$AO$2:$AO$301,0)),"")</f>
        <v/>
      </c>
      <c r="D171" s="27">
        <f>IFERROR(INDEX('Sign-ups'!$AG$2:$AG$301,MATCH(166,'Sign-ups'!$AO$2:$AO$301,0)),"")</f>
        <v/>
      </c>
      <c r="E171" s="27">
        <f>IFERROR(INDEX('Sign-ups'!$AH$2:$AH$301,MATCH(166,'Sign-ups'!$AO$2:$AO$301,0)),"")</f>
        <v/>
      </c>
      <c r="F171" s="27">
        <f>IFERROR(INDEX('Sign-ups'!$AI$2:$AI$301,MATCH(166,'Sign-ups'!$AO$2:$AO$301,0)),"")</f>
        <v/>
      </c>
      <c r="G171" s="27">
        <f>IFERROR(INDEX('Sign-ups'!$AK$2:$AK$301,MATCH(166,'Sign-ups'!$AO$2:$AO$301,0)),"")</f>
        <v/>
      </c>
      <c r="H171" s="26">
        <f>IFERROR(INDEX('Sign-ups'!$AJ$2:$AJ$301,MATCH(166,'Sign-ups'!$AO$2:$AO$301,0)),"")</f>
        <v/>
      </c>
      <c r="I171" s="26">
        <f>IFERROR(INDEX('Sign-ups'!$AN$2:$AN$301,MATCH(166,'Sign-ups'!$AO$2:$AO$301,0)),"")</f>
        <v/>
      </c>
      <c r="J171" s="26">
        <f>IFERROR(INDEX('Sign-ups'!$AA$2:$AA$301,MATCH(166,'Sign-ups'!$AO$2:$AO$301,0))&amp;"","")</f>
        <v/>
      </c>
      <c r="K171" s="27">
        <f>IFERROR(INDEX('Sign-ups'!$AB$2:$AB$301,MATCH(166,'Sign-ups'!$AO$2:$AO$301,0))&amp;"","")</f>
        <v/>
      </c>
    </row>
    <row r="172">
      <c r="A172" s="26">
        <f>IF(ISNUMBER(MATCH(167,'Sign-ups'!$AO$2:$AO$301,0)),167,"")</f>
        <v/>
      </c>
      <c r="B172" s="27">
        <f>IFERROR(INDEX('Sign-ups'!$AE$2:$AE$301,MATCH(167,'Sign-ups'!$AO$2:$AO$301,0)),"")</f>
        <v/>
      </c>
      <c r="C172" s="27">
        <f>IFERROR(INDEX('Sign-ups'!$AF$2:$AF$301,MATCH(167,'Sign-ups'!$AO$2:$AO$301,0)),"")</f>
        <v/>
      </c>
      <c r="D172" s="27">
        <f>IFERROR(INDEX('Sign-ups'!$AG$2:$AG$301,MATCH(167,'Sign-ups'!$AO$2:$AO$301,0)),"")</f>
        <v/>
      </c>
      <c r="E172" s="27">
        <f>IFERROR(INDEX('Sign-ups'!$AH$2:$AH$301,MATCH(167,'Sign-ups'!$AO$2:$AO$301,0)),"")</f>
        <v/>
      </c>
      <c r="F172" s="27">
        <f>IFERROR(INDEX('Sign-ups'!$AI$2:$AI$301,MATCH(167,'Sign-ups'!$AO$2:$AO$301,0)),"")</f>
        <v/>
      </c>
      <c r="G172" s="27">
        <f>IFERROR(INDEX('Sign-ups'!$AK$2:$AK$301,MATCH(167,'Sign-ups'!$AO$2:$AO$301,0)),"")</f>
        <v/>
      </c>
      <c r="H172" s="26">
        <f>IFERROR(INDEX('Sign-ups'!$AJ$2:$AJ$301,MATCH(167,'Sign-ups'!$AO$2:$AO$301,0)),"")</f>
        <v/>
      </c>
      <c r="I172" s="26">
        <f>IFERROR(INDEX('Sign-ups'!$AN$2:$AN$301,MATCH(167,'Sign-ups'!$AO$2:$AO$301,0)),"")</f>
        <v/>
      </c>
      <c r="J172" s="26">
        <f>IFERROR(INDEX('Sign-ups'!$AA$2:$AA$301,MATCH(167,'Sign-ups'!$AO$2:$AO$301,0))&amp;"","")</f>
        <v/>
      </c>
      <c r="K172" s="27">
        <f>IFERROR(INDEX('Sign-ups'!$AB$2:$AB$301,MATCH(167,'Sign-ups'!$AO$2:$AO$301,0))&amp;"","")</f>
        <v/>
      </c>
    </row>
    <row r="173">
      <c r="A173" s="26">
        <f>IF(ISNUMBER(MATCH(168,'Sign-ups'!$AO$2:$AO$301,0)),168,"")</f>
        <v/>
      </c>
      <c r="B173" s="27">
        <f>IFERROR(INDEX('Sign-ups'!$AE$2:$AE$301,MATCH(168,'Sign-ups'!$AO$2:$AO$301,0)),"")</f>
        <v/>
      </c>
      <c r="C173" s="27">
        <f>IFERROR(INDEX('Sign-ups'!$AF$2:$AF$301,MATCH(168,'Sign-ups'!$AO$2:$AO$301,0)),"")</f>
        <v/>
      </c>
      <c r="D173" s="27">
        <f>IFERROR(INDEX('Sign-ups'!$AG$2:$AG$301,MATCH(168,'Sign-ups'!$AO$2:$AO$301,0)),"")</f>
        <v/>
      </c>
      <c r="E173" s="27">
        <f>IFERROR(INDEX('Sign-ups'!$AH$2:$AH$301,MATCH(168,'Sign-ups'!$AO$2:$AO$301,0)),"")</f>
        <v/>
      </c>
      <c r="F173" s="27">
        <f>IFERROR(INDEX('Sign-ups'!$AI$2:$AI$301,MATCH(168,'Sign-ups'!$AO$2:$AO$301,0)),"")</f>
        <v/>
      </c>
      <c r="G173" s="27">
        <f>IFERROR(INDEX('Sign-ups'!$AK$2:$AK$301,MATCH(168,'Sign-ups'!$AO$2:$AO$301,0)),"")</f>
        <v/>
      </c>
      <c r="H173" s="26">
        <f>IFERROR(INDEX('Sign-ups'!$AJ$2:$AJ$301,MATCH(168,'Sign-ups'!$AO$2:$AO$301,0)),"")</f>
        <v/>
      </c>
      <c r="I173" s="26">
        <f>IFERROR(INDEX('Sign-ups'!$AN$2:$AN$301,MATCH(168,'Sign-ups'!$AO$2:$AO$301,0)),"")</f>
        <v/>
      </c>
      <c r="J173" s="26">
        <f>IFERROR(INDEX('Sign-ups'!$AA$2:$AA$301,MATCH(168,'Sign-ups'!$AO$2:$AO$301,0))&amp;"","")</f>
        <v/>
      </c>
      <c r="K173" s="27">
        <f>IFERROR(INDEX('Sign-ups'!$AB$2:$AB$301,MATCH(168,'Sign-ups'!$AO$2:$AO$301,0))&amp;"","")</f>
        <v/>
      </c>
    </row>
    <row r="174">
      <c r="A174" s="26">
        <f>IF(ISNUMBER(MATCH(169,'Sign-ups'!$AO$2:$AO$301,0)),169,"")</f>
        <v/>
      </c>
      <c r="B174" s="27">
        <f>IFERROR(INDEX('Sign-ups'!$AE$2:$AE$301,MATCH(169,'Sign-ups'!$AO$2:$AO$301,0)),"")</f>
        <v/>
      </c>
      <c r="C174" s="27">
        <f>IFERROR(INDEX('Sign-ups'!$AF$2:$AF$301,MATCH(169,'Sign-ups'!$AO$2:$AO$301,0)),"")</f>
        <v/>
      </c>
      <c r="D174" s="27">
        <f>IFERROR(INDEX('Sign-ups'!$AG$2:$AG$301,MATCH(169,'Sign-ups'!$AO$2:$AO$301,0)),"")</f>
        <v/>
      </c>
      <c r="E174" s="27">
        <f>IFERROR(INDEX('Sign-ups'!$AH$2:$AH$301,MATCH(169,'Sign-ups'!$AO$2:$AO$301,0)),"")</f>
        <v/>
      </c>
      <c r="F174" s="27">
        <f>IFERROR(INDEX('Sign-ups'!$AI$2:$AI$301,MATCH(169,'Sign-ups'!$AO$2:$AO$301,0)),"")</f>
        <v/>
      </c>
      <c r="G174" s="27">
        <f>IFERROR(INDEX('Sign-ups'!$AK$2:$AK$301,MATCH(169,'Sign-ups'!$AO$2:$AO$301,0)),"")</f>
        <v/>
      </c>
      <c r="H174" s="26">
        <f>IFERROR(INDEX('Sign-ups'!$AJ$2:$AJ$301,MATCH(169,'Sign-ups'!$AO$2:$AO$301,0)),"")</f>
        <v/>
      </c>
      <c r="I174" s="26">
        <f>IFERROR(INDEX('Sign-ups'!$AN$2:$AN$301,MATCH(169,'Sign-ups'!$AO$2:$AO$301,0)),"")</f>
        <v/>
      </c>
      <c r="J174" s="26">
        <f>IFERROR(INDEX('Sign-ups'!$AA$2:$AA$301,MATCH(169,'Sign-ups'!$AO$2:$AO$301,0))&amp;"","")</f>
        <v/>
      </c>
      <c r="K174" s="27">
        <f>IFERROR(INDEX('Sign-ups'!$AB$2:$AB$301,MATCH(169,'Sign-ups'!$AO$2:$AO$301,0))&amp;"","")</f>
        <v/>
      </c>
    </row>
    <row r="175">
      <c r="A175" s="26">
        <f>IF(ISNUMBER(MATCH(170,'Sign-ups'!$AO$2:$AO$301,0)),170,"")</f>
        <v/>
      </c>
      <c r="B175" s="27">
        <f>IFERROR(INDEX('Sign-ups'!$AE$2:$AE$301,MATCH(170,'Sign-ups'!$AO$2:$AO$301,0)),"")</f>
        <v/>
      </c>
      <c r="C175" s="27">
        <f>IFERROR(INDEX('Sign-ups'!$AF$2:$AF$301,MATCH(170,'Sign-ups'!$AO$2:$AO$301,0)),"")</f>
        <v/>
      </c>
      <c r="D175" s="27">
        <f>IFERROR(INDEX('Sign-ups'!$AG$2:$AG$301,MATCH(170,'Sign-ups'!$AO$2:$AO$301,0)),"")</f>
        <v/>
      </c>
      <c r="E175" s="27">
        <f>IFERROR(INDEX('Sign-ups'!$AH$2:$AH$301,MATCH(170,'Sign-ups'!$AO$2:$AO$301,0)),"")</f>
        <v/>
      </c>
      <c r="F175" s="27">
        <f>IFERROR(INDEX('Sign-ups'!$AI$2:$AI$301,MATCH(170,'Sign-ups'!$AO$2:$AO$301,0)),"")</f>
        <v/>
      </c>
      <c r="G175" s="27">
        <f>IFERROR(INDEX('Sign-ups'!$AK$2:$AK$301,MATCH(170,'Sign-ups'!$AO$2:$AO$301,0)),"")</f>
        <v/>
      </c>
      <c r="H175" s="26">
        <f>IFERROR(INDEX('Sign-ups'!$AJ$2:$AJ$301,MATCH(170,'Sign-ups'!$AO$2:$AO$301,0)),"")</f>
        <v/>
      </c>
      <c r="I175" s="26">
        <f>IFERROR(INDEX('Sign-ups'!$AN$2:$AN$301,MATCH(170,'Sign-ups'!$AO$2:$AO$301,0)),"")</f>
        <v/>
      </c>
      <c r="J175" s="26">
        <f>IFERROR(INDEX('Sign-ups'!$AA$2:$AA$301,MATCH(170,'Sign-ups'!$AO$2:$AO$301,0))&amp;"","")</f>
        <v/>
      </c>
      <c r="K175" s="27">
        <f>IFERROR(INDEX('Sign-ups'!$AB$2:$AB$301,MATCH(170,'Sign-ups'!$AO$2:$AO$301,0))&amp;"","")</f>
        <v/>
      </c>
    </row>
    <row r="176">
      <c r="A176" s="26">
        <f>IF(ISNUMBER(MATCH(171,'Sign-ups'!$AO$2:$AO$301,0)),171,"")</f>
        <v/>
      </c>
      <c r="B176" s="27">
        <f>IFERROR(INDEX('Sign-ups'!$AE$2:$AE$301,MATCH(171,'Sign-ups'!$AO$2:$AO$301,0)),"")</f>
        <v/>
      </c>
      <c r="C176" s="27">
        <f>IFERROR(INDEX('Sign-ups'!$AF$2:$AF$301,MATCH(171,'Sign-ups'!$AO$2:$AO$301,0)),"")</f>
        <v/>
      </c>
      <c r="D176" s="27">
        <f>IFERROR(INDEX('Sign-ups'!$AG$2:$AG$301,MATCH(171,'Sign-ups'!$AO$2:$AO$301,0)),"")</f>
        <v/>
      </c>
      <c r="E176" s="27">
        <f>IFERROR(INDEX('Sign-ups'!$AH$2:$AH$301,MATCH(171,'Sign-ups'!$AO$2:$AO$301,0)),"")</f>
        <v/>
      </c>
      <c r="F176" s="27">
        <f>IFERROR(INDEX('Sign-ups'!$AI$2:$AI$301,MATCH(171,'Sign-ups'!$AO$2:$AO$301,0)),"")</f>
        <v/>
      </c>
      <c r="G176" s="27">
        <f>IFERROR(INDEX('Sign-ups'!$AK$2:$AK$301,MATCH(171,'Sign-ups'!$AO$2:$AO$301,0)),"")</f>
        <v/>
      </c>
      <c r="H176" s="26">
        <f>IFERROR(INDEX('Sign-ups'!$AJ$2:$AJ$301,MATCH(171,'Sign-ups'!$AO$2:$AO$301,0)),"")</f>
        <v/>
      </c>
      <c r="I176" s="26">
        <f>IFERROR(INDEX('Sign-ups'!$AN$2:$AN$301,MATCH(171,'Sign-ups'!$AO$2:$AO$301,0)),"")</f>
        <v/>
      </c>
      <c r="J176" s="26">
        <f>IFERROR(INDEX('Sign-ups'!$AA$2:$AA$301,MATCH(171,'Sign-ups'!$AO$2:$AO$301,0))&amp;"","")</f>
        <v/>
      </c>
      <c r="K176" s="27">
        <f>IFERROR(INDEX('Sign-ups'!$AB$2:$AB$301,MATCH(171,'Sign-ups'!$AO$2:$AO$301,0))&amp;"","")</f>
        <v/>
      </c>
    </row>
    <row r="177">
      <c r="A177" s="26">
        <f>IF(ISNUMBER(MATCH(172,'Sign-ups'!$AO$2:$AO$301,0)),172,"")</f>
        <v/>
      </c>
      <c r="B177" s="27">
        <f>IFERROR(INDEX('Sign-ups'!$AE$2:$AE$301,MATCH(172,'Sign-ups'!$AO$2:$AO$301,0)),"")</f>
        <v/>
      </c>
      <c r="C177" s="27">
        <f>IFERROR(INDEX('Sign-ups'!$AF$2:$AF$301,MATCH(172,'Sign-ups'!$AO$2:$AO$301,0)),"")</f>
        <v/>
      </c>
      <c r="D177" s="27">
        <f>IFERROR(INDEX('Sign-ups'!$AG$2:$AG$301,MATCH(172,'Sign-ups'!$AO$2:$AO$301,0)),"")</f>
        <v/>
      </c>
      <c r="E177" s="27">
        <f>IFERROR(INDEX('Sign-ups'!$AH$2:$AH$301,MATCH(172,'Sign-ups'!$AO$2:$AO$301,0)),"")</f>
        <v/>
      </c>
      <c r="F177" s="27">
        <f>IFERROR(INDEX('Sign-ups'!$AI$2:$AI$301,MATCH(172,'Sign-ups'!$AO$2:$AO$301,0)),"")</f>
        <v/>
      </c>
      <c r="G177" s="27">
        <f>IFERROR(INDEX('Sign-ups'!$AK$2:$AK$301,MATCH(172,'Sign-ups'!$AO$2:$AO$301,0)),"")</f>
        <v/>
      </c>
      <c r="H177" s="26">
        <f>IFERROR(INDEX('Sign-ups'!$AJ$2:$AJ$301,MATCH(172,'Sign-ups'!$AO$2:$AO$301,0)),"")</f>
        <v/>
      </c>
      <c r="I177" s="26">
        <f>IFERROR(INDEX('Sign-ups'!$AN$2:$AN$301,MATCH(172,'Sign-ups'!$AO$2:$AO$301,0)),"")</f>
        <v/>
      </c>
      <c r="J177" s="26">
        <f>IFERROR(INDEX('Sign-ups'!$AA$2:$AA$301,MATCH(172,'Sign-ups'!$AO$2:$AO$301,0))&amp;"","")</f>
        <v/>
      </c>
      <c r="K177" s="27">
        <f>IFERROR(INDEX('Sign-ups'!$AB$2:$AB$301,MATCH(172,'Sign-ups'!$AO$2:$AO$301,0))&amp;"","")</f>
        <v/>
      </c>
    </row>
    <row r="178">
      <c r="A178" s="26">
        <f>IF(ISNUMBER(MATCH(173,'Sign-ups'!$AO$2:$AO$301,0)),173,"")</f>
        <v/>
      </c>
      <c r="B178" s="27">
        <f>IFERROR(INDEX('Sign-ups'!$AE$2:$AE$301,MATCH(173,'Sign-ups'!$AO$2:$AO$301,0)),"")</f>
        <v/>
      </c>
      <c r="C178" s="27">
        <f>IFERROR(INDEX('Sign-ups'!$AF$2:$AF$301,MATCH(173,'Sign-ups'!$AO$2:$AO$301,0)),"")</f>
        <v/>
      </c>
      <c r="D178" s="27">
        <f>IFERROR(INDEX('Sign-ups'!$AG$2:$AG$301,MATCH(173,'Sign-ups'!$AO$2:$AO$301,0)),"")</f>
        <v/>
      </c>
      <c r="E178" s="27">
        <f>IFERROR(INDEX('Sign-ups'!$AH$2:$AH$301,MATCH(173,'Sign-ups'!$AO$2:$AO$301,0)),"")</f>
        <v/>
      </c>
      <c r="F178" s="27">
        <f>IFERROR(INDEX('Sign-ups'!$AI$2:$AI$301,MATCH(173,'Sign-ups'!$AO$2:$AO$301,0)),"")</f>
        <v/>
      </c>
      <c r="G178" s="27">
        <f>IFERROR(INDEX('Sign-ups'!$AK$2:$AK$301,MATCH(173,'Sign-ups'!$AO$2:$AO$301,0)),"")</f>
        <v/>
      </c>
      <c r="H178" s="26">
        <f>IFERROR(INDEX('Sign-ups'!$AJ$2:$AJ$301,MATCH(173,'Sign-ups'!$AO$2:$AO$301,0)),"")</f>
        <v/>
      </c>
      <c r="I178" s="26">
        <f>IFERROR(INDEX('Sign-ups'!$AN$2:$AN$301,MATCH(173,'Sign-ups'!$AO$2:$AO$301,0)),"")</f>
        <v/>
      </c>
      <c r="J178" s="26">
        <f>IFERROR(INDEX('Sign-ups'!$AA$2:$AA$301,MATCH(173,'Sign-ups'!$AO$2:$AO$301,0))&amp;"","")</f>
        <v/>
      </c>
      <c r="K178" s="27">
        <f>IFERROR(INDEX('Sign-ups'!$AB$2:$AB$301,MATCH(173,'Sign-ups'!$AO$2:$AO$301,0))&amp;"","")</f>
        <v/>
      </c>
    </row>
    <row r="179">
      <c r="A179" s="26">
        <f>IF(ISNUMBER(MATCH(174,'Sign-ups'!$AO$2:$AO$301,0)),174,"")</f>
        <v/>
      </c>
      <c r="B179" s="27">
        <f>IFERROR(INDEX('Sign-ups'!$AE$2:$AE$301,MATCH(174,'Sign-ups'!$AO$2:$AO$301,0)),"")</f>
        <v/>
      </c>
      <c r="C179" s="27">
        <f>IFERROR(INDEX('Sign-ups'!$AF$2:$AF$301,MATCH(174,'Sign-ups'!$AO$2:$AO$301,0)),"")</f>
        <v/>
      </c>
      <c r="D179" s="27">
        <f>IFERROR(INDEX('Sign-ups'!$AG$2:$AG$301,MATCH(174,'Sign-ups'!$AO$2:$AO$301,0)),"")</f>
        <v/>
      </c>
      <c r="E179" s="27">
        <f>IFERROR(INDEX('Sign-ups'!$AH$2:$AH$301,MATCH(174,'Sign-ups'!$AO$2:$AO$301,0)),"")</f>
        <v/>
      </c>
      <c r="F179" s="27">
        <f>IFERROR(INDEX('Sign-ups'!$AI$2:$AI$301,MATCH(174,'Sign-ups'!$AO$2:$AO$301,0)),"")</f>
        <v/>
      </c>
      <c r="G179" s="27">
        <f>IFERROR(INDEX('Sign-ups'!$AK$2:$AK$301,MATCH(174,'Sign-ups'!$AO$2:$AO$301,0)),"")</f>
        <v/>
      </c>
      <c r="H179" s="26">
        <f>IFERROR(INDEX('Sign-ups'!$AJ$2:$AJ$301,MATCH(174,'Sign-ups'!$AO$2:$AO$301,0)),"")</f>
        <v/>
      </c>
      <c r="I179" s="26">
        <f>IFERROR(INDEX('Sign-ups'!$AN$2:$AN$301,MATCH(174,'Sign-ups'!$AO$2:$AO$301,0)),"")</f>
        <v/>
      </c>
      <c r="J179" s="26">
        <f>IFERROR(INDEX('Sign-ups'!$AA$2:$AA$301,MATCH(174,'Sign-ups'!$AO$2:$AO$301,0))&amp;"","")</f>
        <v/>
      </c>
      <c r="K179" s="27">
        <f>IFERROR(INDEX('Sign-ups'!$AB$2:$AB$301,MATCH(174,'Sign-ups'!$AO$2:$AO$301,0))&amp;"","")</f>
        <v/>
      </c>
    </row>
    <row r="180">
      <c r="A180" s="26">
        <f>IF(ISNUMBER(MATCH(175,'Sign-ups'!$AO$2:$AO$301,0)),175,"")</f>
        <v/>
      </c>
      <c r="B180" s="27">
        <f>IFERROR(INDEX('Sign-ups'!$AE$2:$AE$301,MATCH(175,'Sign-ups'!$AO$2:$AO$301,0)),"")</f>
        <v/>
      </c>
      <c r="C180" s="27">
        <f>IFERROR(INDEX('Sign-ups'!$AF$2:$AF$301,MATCH(175,'Sign-ups'!$AO$2:$AO$301,0)),"")</f>
        <v/>
      </c>
      <c r="D180" s="27">
        <f>IFERROR(INDEX('Sign-ups'!$AG$2:$AG$301,MATCH(175,'Sign-ups'!$AO$2:$AO$301,0)),"")</f>
        <v/>
      </c>
      <c r="E180" s="27">
        <f>IFERROR(INDEX('Sign-ups'!$AH$2:$AH$301,MATCH(175,'Sign-ups'!$AO$2:$AO$301,0)),"")</f>
        <v/>
      </c>
      <c r="F180" s="27">
        <f>IFERROR(INDEX('Sign-ups'!$AI$2:$AI$301,MATCH(175,'Sign-ups'!$AO$2:$AO$301,0)),"")</f>
        <v/>
      </c>
      <c r="G180" s="27">
        <f>IFERROR(INDEX('Sign-ups'!$AK$2:$AK$301,MATCH(175,'Sign-ups'!$AO$2:$AO$301,0)),"")</f>
        <v/>
      </c>
      <c r="H180" s="26">
        <f>IFERROR(INDEX('Sign-ups'!$AJ$2:$AJ$301,MATCH(175,'Sign-ups'!$AO$2:$AO$301,0)),"")</f>
        <v/>
      </c>
      <c r="I180" s="26">
        <f>IFERROR(INDEX('Sign-ups'!$AN$2:$AN$301,MATCH(175,'Sign-ups'!$AO$2:$AO$301,0)),"")</f>
        <v/>
      </c>
      <c r="J180" s="26">
        <f>IFERROR(INDEX('Sign-ups'!$AA$2:$AA$301,MATCH(175,'Sign-ups'!$AO$2:$AO$301,0))&amp;"","")</f>
        <v/>
      </c>
      <c r="K180" s="27">
        <f>IFERROR(INDEX('Sign-ups'!$AB$2:$AB$301,MATCH(175,'Sign-ups'!$AO$2:$AO$301,0))&amp;"","")</f>
        <v/>
      </c>
    </row>
    <row r="181">
      <c r="A181" s="26">
        <f>IF(ISNUMBER(MATCH(176,'Sign-ups'!$AO$2:$AO$301,0)),176,"")</f>
        <v/>
      </c>
      <c r="B181" s="27">
        <f>IFERROR(INDEX('Sign-ups'!$AE$2:$AE$301,MATCH(176,'Sign-ups'!$AO$2:$AO$301,0)),"")</f>
        <v/>
      </c>
      <c r="C181" s="27">
        <f>IFERROR(INDEX('Sign-ups'!$AF$2:$AF$301,MATCH(176,'Sign-ups'!$AO$2:$AO$301,0)),"")</f>
        <v/>
      </c>
      <c r="D181" s="27">
        <f>IFERROR(INDEX('Sign-ups'!$AG$2:$AG$301,MATCH(176,'Sign-ups'!$AO$2:$AO$301,0)),"")</f>
        <v/>
      </c>
      <c r="E181" s="27">
        <f>IFERROR(INDEX('Sign-ups'!$AH$2:$AH$301,MATCH(176,'Sign-ups'!$AO$2:$AO$301,0)),"")</f>
        <v/>
      </c>
      <c r="F181" s="27">
        <f>IFERROR(INDEX('Sign-ups'!$AI$2:$AI$301,MATCH(176,'Sign-ups'!$AO$2:$AO$301,0)),"")</f>
        <v/>
      </c>
      <c r="G181" s="27">
        <f>IFERROR(INDEX('Sign-ups'!$AK$2:$AK$301,MATCH(176,'Sign-ups'!$AO$2:$AO$301,0)),"")</f>
        <v/>
      </c>
      <c r="H181" s="26">
        <f>IFERROR(INDEX('Sign-ups'!$AJ$2:$AJ$301,MATCH(176,'Sign-ups'!$AO$2:$AO$301,0)),"")</f>
        <v/>
      </c>
      <c r="I181" s="26">
        <f>IFERROR(INDEX('Sign-ups'!$AN$2:$AN$301,MATCH(176,'Sign-ups'!$AO$2:$AO$301,0)),"")</f>
        <v/>
      </c>
      <c r="J181" s="26">
        <f>IFERROR(INDEX('Sign-ups'!$AA$2:$AA$301,MATCH(176,'Sign-ups'!$AO$2:$AO$301,0))&amp;"","")</f>
        <v/>
      </c>
      <c r="K181" s="27">
        <f>IFERROR(INDEX('Sign-ups'!$AB$2:$AB$301,MATCH(176,'Sign-ups'!$AO$2:$AO$301,0))&amp;"","")</f>
        <v/>
      </c>
    </row>
    <row r="182">
      <c r="A182" s="26">
        <f>IF(ISNUMBER(MATCH(177,'Sign-ups'!$AO$2:$AO$301,0)),177,"")</f>
        <v/>
      </c>
      <c r="B182" s="27">
        <f>IFERROR(INDEX('Sign-ups'!$AE$2:$AE$301,MATCH(177,'Sign-ups'!$AO$2:$AO$301,0)),"")</f>
        <v/>
      </c>
      <c r="C182" s="27">
        <f>IFERROR(INDEX('Sign-ups'!$AF$2:$AF$301,MATCH(177,'Sign-ups'!$AO$2:$AO$301,0)),"")</f>
        <v/>
      </c>
      <c r="D182" s="27">
        <f>IFERROR(INDEX('Sign-ups'!$AG$2:$AG$301,MATCH(177,'Sign-ups'!$AO$2:$AO$301,0)),"")</f>
        <v/>
      </c>
      <c r="E182" s="27">
        <f>IFERROR(INDEX('Sign-ups'!$AH$2:$AH$301,MATCH(177,'Sign-ups'!$AO$2:$AO$301,0)),"")</f>
        <v/>
      </c>
      <c r="F182" s="27">
        <f>IFERROR(INDEX('Sign-ups'!$AI$2:$AI$301,MATCH(177,'Sign-ups'!$AO$2:$AO$301,0)),"")</f>
        <v/>
      </c>
      <c r="G182" s="27">
        <f>IFERROR(INDEX('Sign-ups'!$AK$2:$AK$301,MATCH(177,'Sign-ups'!$AO$2:$AO$301,0)),"")</f>
        <v/>
      </c>
      <c r="H182" s="26">
        <f>IFERROR(INDEX('Sign-ups'!$AJ$2:$AJ$301,MATCH(177,'Sign-ups'!$AO$2:$AO$301,0)),"")</f>
        <v/>
      </c>
      <c r="I182" s="26">
        <f>IFERROR(INDEX('Sign-ups'!$AN$2:$AN$301,MATCH(177,'Sign-ups'!$AO$2:$AO$301,0)),"")</f>
        <v/>
      </c>
      <c r="J182" s="26">
        <f>IFERROR(INDEX('Sign-ups'!$AA$2:$AA$301,MATCH(177,'Sign-ups'!$AO$2:$AO$301,0))&amp;"","")</f>
        <v/>
      </c>
      <c r="K182" s="27">
        <f>IFERROR(INDEX('Sign-ups'!$AB$2:$AB$301,MATCH(177,'Sign-ups'!$AO$2:$AO$301,0))&amp;"","")</f>
        <v/>
      </c>
    </row>
    <row r="183">
      <c r="A183" s="26">
        <f>IF(ISNUMBER(MATCH(178,'Sign-ups'!$AO$2:$AO$301,0)),178,"")</f>
        <v/>
      </c>
      <c r="B183" s="27">
        <f>IFERROR(INDEX('Sign-ups'!$AE$2:$AE$301,MATCH(178,'Sign-ups'!$AO$2:$AO$301,0)),"")</f>
        <v/>
      </c>
      <c r="C183" s="27">
        <f>IFERROR(INDEX('Sign-ups'!$AF$2:$AF$301,MATCH(178,'Sign-ups'!$AO$2:$AO$301,0)),"")</f>
        <v/>
      </c>
      <c r="D183" s="27">
        <f>IFERROR(INDEX('Sign-ups'!$AG$2:$AG$301,MATCH(178,'Sign-ups'!$AO$2:$AO$301,0)),"")</f>
        <v/>
      </c>
      <c r="E183" s="27">
        <f>IFERROR(INDEX('Sign-ups'!$AH$2:$AH$301,MATCH(178,'Sign-ups'!$AO$2:$AO$301,0)),"")</f>
        <v/>
      </c>
      <c r="F183" s="27">
        <f>IFERROR(INDEX('Sign-ups'!$AI$2:$AI$301,MATCH(178,'Sign-ups'!$AO$2:$AO$301,0)),"")</f>
        <v/>
      </c>
      <c r="G183" s="27">
        <f>IFERROR(INDEX('Sign-ups'!$AK$2:$AK$301,MATCH(178,'Sign-ups'!$AO$2:$AO$301,0)),"")</f>
        <v/>
      </c>
      <c r="H183" s="26">
        <f>IFERROR(INDEX('Sign-ups'!$AJ$2:$AJ$301,MATCH(178,'Sign-ups'!$AO$2:$AO$301,0)),"")</f>
        <v/>
      </c>
      <c r="I183" s="26">
        <f>IFERROR(INDEX('Sign-ups'!$AN$2:$AN$301,MATCH(178,'Sign-ups'!$AO$2:$AO$301,0)),"")</f>
        <v/>
      </c>
      <c r="J183" s="26">
        <f>IFERROR(INDEX('Sign-ups'!$AA$2:$AA$301,MATCH(178,'Sign-ups'!$AO$2:$AO$301,0))&amp;"","")</f>
        <v/>
      </c>
      <c r="K183" s="27">
        <f>IFERROR(INDEX('Sign-ups'!$AB$2:$AB$301,MATCH(178,'Sign-ups'!$AO$2:$AO$301,0))&amp;"","")</f>
        <v/>
      </c>
    </row>
    <row r="184">
      <c r="A184" s="26">
        <f>IF(ISNUMBER(MATCH(179,'Sign-ups'!$AO$2:$AO$301,0)),179,"")</f>
        <v/>
      </c>
      <c r="B184" s="27">
        <f>IFERROR(INDEX('Sign-ups'!$AE$2:$AE$301,MATCH(179,'Sign-ups'!$AO$2:$AO$301,0)),"")</f>
        <v/>
      </c>
      <c r="C184" s="27">
        <f>IFERROR(INDEX('Sign-ups'!$AF$2:$AF$301,MATCH(179,'Sign-ups'!$AO$2:$AO$301,0)),"")</f>
        <v/>
      </c>
      <c r="D184" s="27">
        <f>IFERROR(INDEX('Sign-ups'!$AG$2:$AG$301,MATCH(179,'Sign-ups'!$AO$2:$AO$301,0)),"")</f>
        <v/>
      </c>
      <c r="E184" s="27">
        <f>IFERROR(INDEX('Sign-ups'!$AH$2:$AH$301,MATCH(179,'Sign-ups'!$AO$2:$AO$301,0)),"")</f>
        <v/>
      </c>
      <c r="F184" s="27">
        <f>IFERROR(INDEX('Sign-ups'!$AI$2:$AI$301,MATCH(179,'Sign-ups'!$AO$2:$AO$301,0)),"")</f>
        <v/>
      </c>
      <c r="G184" s="27">
        <f>IFERROR(INDEX('Sign-ups'!$AK$2:$AK$301,MATCH(179,'Sign-ups'!$AO$2:$AO$301,0)),"")</f>
        <v/>
      </c>
      <c r="H184" s="26">
        <f>IFERROR(INDEX('Sign-ups'!$AJ$2:$AJ$301,MATCH(179,'Sign-ups'!$AO$2:$AO$301,0)),"")</f>
        <v/>
      </c>
      <c r="I184" s="26">
        <f>IFERROR(INDEX('Sign-ups'!$AN$2:$AN$301,MATCH(179,'Sign-ups'!$AO$2:$AO$301,0)),"")</f>
        <v/>
      </c>
      <c r="J184" s="26">
        <f>IFERROR(INDEX('Sign-ups'!$AA$2:$AA$301,MATCH(179,'Sign-ups'!$AO$2:$AO$301,0))&amp;"","")</f>
        <v/>
      </c>
      <c r="K184" s="27">
        <f>IFERROR(INDEX('Sign-ups'!$AB$2:$AB$301,MATCH(179,'Sign-ups'!$AO$2:$AO$301,0))&amp;"","")</f>
        <v/>
      </c>
    </row>
    <row r="185">
      <c r="A185" s="26">
        <f>IF(ISNUMBER(MATCH(180,'Sign-ups'!$AO$2:$AO$301,0)),180,"")</f>
        <v/>
      </c>
      <c r="B185" s="27">
        <f>IFERROR(INDEX('Sign-ups'!$AE$2:$AE$301,MATCH(180,'Sign-ups'!$AO$2:$AO$301,0)),"")</f>
        <v/>
      </c>
      <c r="C185" s="27">
        <f>IFERROR(INDEX('Sign-ups'!$AF$2:$AF$301,MATCH(180,'Sign-ups'!$AO$2:$AO$301,0)),"")</f>
        <v/>
      </c>
      <c r="D185" s="27">
        <f>IFERROR(INDEX('Sign-ups'!$AG$2:$AG$301,MATCH(180,'Sign-ups'!$AO$2:$AO$301,0)),"")</f>
        <v/>
      </c>
      <c r="E185" s="27">
        <f>IFERROR(INDEX('Sign-ups'!$AH$2:$AH$301,MATCH(180,'Sign-ups'!$AO$2:$AO$301,0)),"")</f>
        <v/>
      </c>
      <c r="F185" s="27">
        <f>IFERROR(INDEX('Sign-ups'!$AI$2:$AI$301,MATCH(180,'Sign-ups'!$AO$2:$AO$301,0)),"")</f>
        <v/>
      </c>
      <c r="G185" s="27">
        <f>IFERROR(INDEX('Sign-ups'!$AK$2:$AK$301,MATCH(180,'Sign-ups'!$AO$2:$AO$301,0)),"")</f>
        <v/>
      </c>
      <c r="H185" s="26">
        <f>IFERROR(INDEX('Sign-ups'!$AJ$2:$AJ$301,MATCH(180,'Sign-ups'!$AO$2:$AO$301,0)),"")</f>
        <v/>
      </c>
      <c r="I185" s="26">
        <f>IFERROR(INDEX('Sign-ups'!$AN$2:$AN$301,MATCH(180,'Sign-ups'!$AO$2:$AO$301,0)),"")</f>
        <v/>
      </c>
      <c r="J185" s="26">
        <f>IFERROR(INDEX('Sign-ups'!$AA$2:$AA$301,MATCH(180,'Sign-ups'!$AO$2:$AO$301,0))&amp;"","")</f>
        <v/>
      </c>
      <c r="K185" s="27">
        <f>IFERROR(INDEX('Sign-ups'!$AB$2:$AB$301,MATCH(180,'Sign-ups'!$AO$2:$AO$301,0))&amp;"","")</f>
        <v/>
      </c>
    </row>
    <row r="186">
      <c r="A186" s="26">
        <f>IF(ISNUMBER(MATCH(181,'Sign-ups'!$AO$2:$AO$301,0)),181,"")</f>
        <v/>
      </c>
      <c r="B186" s="27">
        <f>IFERROR(INDEX('Sign-ups'!$AE$2:$AE$301,MATCH(181,'Sign-ups'!$AO$2:$AO$301,0)),"")</f>
        <v/>
      </c>
      <c r="C186" s="27">
        <f>IFERROR(INDEX('Sign-ups'!$AF$2:$AF$301,MATCH(181,'Sign-ups'!$AO$2:$AO$301,0)),"")</f>
        <v/>
      </c>
      <c r="D186" s="27">
        <f>IFERROR(INDEX('Sign-ups'!$AG$2:$AG$301,MATCH(181,'Sign-ups'!$AO$2:$AO$301,0)),"")</f>
        <v/>
      </c>
      <c r="E186" s="27">
        <f>IFERROR(INDEX('Sign-ups'!$AH$2:$AH$301,MATCH(181,'Sign-ups'!$AO$2:$AO$301,0)),"")</f>
        <v/>
      </c>
      <c r="F186" s="27">
        <f>IFERROR(INDEX('Sign-ups'!$AI$2:$AI$301,MATCH(181,'Sign-ups'!$AO$2:$AO$301,0)),"")</f>
        <v/>
      </c>
      <c r="G186" s="27">
        <f>IFERROR(INDEX('Sign-ups'!$AK$2:$AK$301,MATCH(181,'Sign-ups'!$AO$2:$AO$301,0)),"")</f>
        <v/>
      </c>
      <c r="H186" s="26">
        <f>IFERROR(INDEX('Sign-ups'!$AJ$2:$AJ$301,MATCH(181,'Sign-ups'!$AO$2:$AO$301,0)),"")</f>
        <v/>
      </c>
      <c r="I186" s="26">
        <f>IFERROR(INDEX('Sign-ups'!$AN$2:$AN$301,MATCH(181,'Sign-ups'!$AO$2:$AO$301,0)),"")</f>
        <v/>
      </c>
      <c r="J186" s="26">
        <f>IFERROR(INDEX('Sign-ups'!$AA$2:$AA$301,MATCH(181,'Sign-ups'!$AO$2:$AO$301,0))&amp;"","")</f>
        <v/>
      </c>
      <c r="K186" s="27">
        <f>IFERROR(INDEX('Sign-ups'!$AB$2:$AB$301,MATCH(181,'Sign-ups'!$AO$2:$AO$301,0))&amp;"","")</f>
        <v/>
      </c>
    </row>
    <row r="187">
      <c r="A187" s="26">
        <f>IF(ISNUMBER(MATCH(182,'Sign-ups'!$AO$2:$AO$301,0)),182,"")</f>
        <v/>
      </c>
      <c r="B187" s="27">
        <f>IFERROR(INDEX('Sign-ups'!$AE$2:$AE$301,MATCH(182,'Sign-ups'!$AO$2:$AO$301,0)),"")</f>
        <v/>
      </c>
      <c r="C187" s="27">
        <f>IFERROR(INDEX('Sign-ups'!$AF$2:$AF$301,MATCH(182,'Sign-ups'!$AO$2:$AO$301,0)),"")</f>
        <v/>
      </c>
      <c r="D187" s="27">
        <f>IFERROR(INDEX('Sign-ups'!$AG$2:$AG$301,MATCH(182,'Sign-ups'!$AO$2:$AO$301,0)),"")</f>
        <v/>
      </c>
      <c r="E187" s="27">
        <f>IFERROR(INDEX('Sign-ups'!$AH$2:$AH$301,MATCH(182,'Sign-ups'!$AO$2:$AO$301,0)),"")</f>
        <v/>
      </c>
      <c r="F187" s="27">
        <f>IFERROR(INDEX('Sign-ups'!$AI$2:$AI$301,MATCH(182,'Sign-ups'!$AO$2:$AO$301,0)),"")</f>
        <v/>
      </c>
      <c r="G187" s="27">
        <f>IFERROR(INDEX('Sign-ups'!$AK$2:$AK$301,MATCH(182,'Sign-ups'!$AO$2:$AO$301,0)),"")</f>
        <v/>
      </c>
      <c r="H187" s="26">
        <f>IFERROR(INDEX('Sign-ups'!$AJ$2:$AJ$301,MATCH(182,'Sign-ups'!$AO$2:$AO$301,0)),"")</f>
        <v/>
      </c>
      <c r="I187" s="26">
        <f>IFERROR(INDEX('Sign-ups'!$AN$2:$AN$301,MATCH(182,'Sign-ups'!$AO$2:$AO$301,0)),"")</f>
        <v/>
      </c>
      <c r="J187" s="26">
        <f>IFERROR(INDEX('Sign-ups'!$AA$2:$AA$301,MATCH(182,'Sign-ups'!$AO$2:$AO$301,0))&amp;"","")</f>
        <v/>
      </c>
      <c r="K187" s="27">
        <f>IFERROR(INDEX('Sign-ups'!$AB$2:$AB$301,MATCH(182,'Sign-ups'!$AO$2:$AO$301,0))&amp;"","")</f>
        <v/>
      </c>
    </row>
    <row r="188">
      <c r="A188" s="26">
        <f>IF(ISNUMBER(MATCH(183,'Sign-ups'!$AO$2:$AO$301,0)),183,"")</f>
        <v/>
      </c>
      <c r="B188" s="27">
        <f>IFERROR(INDEX('Sign-ups'!$AE$2:$AE$301,MATCH(183,'Sign-ups'!$AO$2:$AO$301,0)),"")</f>
        <v/>
      </c>
      <c r="C188" s="27">
        <f>IFERROR(INDEX('Sign-ups'!$AF$2:$AF$301,MATCH(183,'Sign-ups'!$AO$2:$AO$301,0)),"")</f>
        <v/>
      </c>
      <c r="D188" s="27">
        <f>IFERROR(INDEX('Sign-ups'!$AG$2:$AG$301,MATCH(183,'Sign-ups'!$AO$2:$AO$301,0)),"")</f>
        <v/>
      </c>
      <c r="E188" s="27">
        <f>IFERROR(INDEX('Sign-ups'!$AH$2:$AH$301,MATCH(183,'Sign-ups'!$AO$2:$AO$301,0)),"")</f>
        <v/>
      </c>
      <c r="F188" s="27">
        <f>IFERROR(INDEX('Sign-ups'!$AI$2:$AI$301,MATCH(183,'Sign-ups'!$AO$2:$AO$301,0)),"")</f>
        <v/>
      </c>
      <c r="G188" s="27">
        <f>IFERROR(INDEX('Sign-ups'!$AK$2:$AK$301,MATCH(183,'Sign-ups'!$AO$2:$AO$301,0)),"")</f>
        <v/>
      </c>
      <c r="H188" s="26">
        <f>IFERROR(INDEX('Sign-ups'!$AJ$2:$AJ$301,MATCH(183,'Sign-ups'!$AO$2:$AO$301,0)),"")</f>
        <v/>
      </c>
      <c r="I188" s="26">
        <f>IFERROR(INDEX('Sign-ups'!$AN$2:$AN$301,MATCH(183,'Sign-ups'!$AO$2:$AO$301,0)),"")</f>
        <v/>
      </c>
      <c r="J188" s="26">
        <f>IFERROR(INDEX('Sign-ups'!$AA$2:$AA$301,MATCH(183,'Sign-ups'!$AO$2:$AO$301,0))&amp;"","")</f>
        <v/>
      </c>
      <c r="K188" s="27">
        <f>IFERROR(INDEX('Sign-ups'!$AB$2:$AB$301,MATCH(183,'Sign-ups'!$AO$2:$AO$301,0))&amp;"","")</f>
        <v/>
      </c>
    </row>
    <row r="189">
      <c r="A189" s="26">
        <f>IF(ISNUMBER(MATCH(184,'Sign-ups'!$AO$2:$AO$301,0)),184,"")</f>
        <v/>
      </c>
      <c r="B189" s="27">
        <f>IFERROR(INDEX('Sign-ups'!$AE$2:$AE$301,MATCH(184,'Sign-ups'!$AO$2:$AO$301,0)),"")</f>
        <v/>
      </c>
      <c r="C189" s="27">
        <f>IFERROR(INDEX('Sign-ups'!$AF$2:$AF$301,MATCH(184,'Sign-ups'!$AO$2:$AO$301,0)),"")</f>
        <v/>
      </c>
      <c r="D189" s="27">
        <f>IFERROR(INDEX('Sign-ups'!$AG$2:$AG$301,MATCH(184,'Sign-ups'!$AO$2:$AO$301,0)),"")</f>
        <v/>
      </c>
      <c r="E189" s="27">
        <f>IFERROR(INDEX('Sign-ups'!$AH$2:$AH$301,MATCH(184,'Sign-ups'!$AO$2:$AO$301,0)),"")</f>
        <v/>
      </c>
      <c r="F189" s="27">
        <f>IFERROR(INDEX('Sign-ups'!$AI$2:$AI$301,MATCH(184,'Sign-ups'!$AO$2:$AO$301,0)),"")</f>
        <v/>
      </c>
      <c r="G189" s="27">
        <f>IFERROR(INDEX('Sign-ups'!$AK$2:$AK$301,MATCH(184,'Sign-ups'!$AO$2:$AO$301,0)),"")</f>
        <v/>
      </c>
      <c r="H189" s="26">
        <f>IFERROR(INDEX('Sign-ups'!$AJ$2:$AJ$301,MATCH(184,'Sign-ups'!$AO$2:$AO$301,0)),"")</f>
        <v/>
      </c>
      <c r="I189" s="26">
        <f>IFERROR(INDEX('Sign-ups'!$AN$2:$AN$301,MATCH(184,'Sign-ups'!$AO$2:$AO$301,0)),"")</f>
        <v/>
      </c>
      <c r="J189" s="26">
        <f>IFERROR(INDEX('Sign-ups'!$AA$2:$AA$301,MATCH(184,'Sign-ups'!$AO$2:$AO$301,0))&amp;"","")</f>
        <v/>
      </c>
      <c r="K189" s="27">
        <f>IFERROR(INDEX('Sign-ups'!$AB$2:$AB$301,MATCH(184,'Sign-ups'!$AO$2:$AO$301,0))&amp;"","")</f>
        <v/>
      </c>
    </row>
    <row r="190">
      <c r="A190" s="26">
        <f>IF(ISNUMBER(MATCH(185,'Sign-ups'!$AO$2:$AO$301,0)),185,"")</f>
        <v/>
      </c>
      <c r="B190" s="27">
        <f>IFERROR(INDEX('Sign-ups'!$AE$2:$AE$301,MATCH(185,'Sign-ups'!$AO$2:$AO$301,0)),"")</f>
        <v/>
      </c>
      <c r="C190" s="27">
        <f>IFERROR(INDEX('Sign-ups'!$AF$2:$AF$301,MATCH(185,'Sign-ups'!$AO$2:$AO$301,0)),"")</f>
        <v/>
      </c>
      <c r="D190" s="27">
        <f>IFERROR(INDEX('Sign-ups'!$AG$2:$AG$301,MATCH(185,'Sign-ups'!$AO$2:$AO$301,0)),"")</f>
        <v/>
      </c>
      <c r="E190" s="27">
        <f>IFERROR(INDEX('Sign-ups'!$AH$2:$AH$301,MATCH(185,'Sign-ups'!$AO$2:$AO$301,0)),"")</f>
        <v/>
      </c>
      <c r="F190" s="27">
        <f>IFERROR(INDEX('Sign-ups'!$AI$2:$AI$301,MATCH(185,'Sign-ups'!$AO$2:$AO$301,0)),"")</f>
        <v/>
      </c>
      <c r="G190" s="27">
        <f>IFERROR(INDEX('Sign-ups'!$AK$2:$AK$301,MATCH(185,'Sign-ups'!$AO$2:$AO$301,0)),"")</f>
        <v/>
      </c>
      <c r="H190" s="26">
        <f>IFERROR(INDEX('Sign-ups'!$AJ$2:$AJ$301,MATCH(185,'Sign-ups'!$AO$2:$AO$301,0)),"")</f>
        <v/>
      </c>
      <c r="I190" s="26">
        <f>IFERROR(INDEX('Sign-ups'!$AN$2:$AN$301,MATCH(185,'Sign-ups'!$AO$2:$AO$301,0)),"")</f>
        <v/>
      </c>
      <c r="J190" s="26">
        <f>IFERROR(INDEX('Sign-ups'!$AA$2:$AA$301,MATCH(185,'Sign-ups'!$AO$2:$AO$301,0))&amp;"","")</f>
        <v/>
      </c>
      <c r="K190" s="27">
        <f>IFERROR(INDEX('Sign-ups'!$AB$2:$AB$301,MATCH(185,'Sign-ups'!$AO$2:$AO$301,0))&amp;"","")</f>
        <v/>
      </c>
    </row>
    <row r="191">
      <c r="A191" s="26">
        <f>IF(ISNUMBER(MATCH(186,'Sign-ups'!$AO$2:$AO$301,0)),186,"")</f>
        <v/>
      </c>
      <c r="B191" s="27">
        <f>IFERROR(INDEX('Sign-ups'!$AE$2:$AE$301,MATCH(186,'Sign-ups'!$AO$2:$AO$301,0)),"")</f>
        <v/>
      </c>
      <c r="C191" s="27">
        <f>IFERROR(INDEX('Sign-ups'!$AF$2:$AF$301,MATCH(186,'Sign-ups'!$AO$2:$AO$301,0)),"")</f>
        <v/>
      </c>
      <c r="D191" s="27">
        <f>IFERROR(INDEX('Sign-ups'!$AG$2:$AG$301,MATCH(186,'Sign-ups'!$AO$2:$AO$301,0)),"")</f>
        <v/>
      </c>
      <c r="E191" s="27">
        <f>IFERROR(INDEX('Sign-ups'!$AH$2:$AH$301,MATCH(186,'Sign-ups'!$AO$2:$AO$301,0)),"")</f>
        <v/>
      </c>
      <c r="F191" s="27">
        <f>IFERROR(INDEX('Sign-ups'!$AI$2:$AI$301,MATCH(186,'Sign-ups'!$AO$2:$AO$301,0)),"")</f>
        <v/>
      </c>
      <c r="G191" s="27">
        <f>IFERROR(INDEX('Sign-ups'!$AK$2:$AK$301,MATCH(186,'Sign-ups'!$AO$2:$AO$301,0)),"")</f>
        <v/>
      </c>
      <c r="H191" s="26">
        <f>IFERROR(INDEX('Sign-ups'!$AJ$2:$AJ$301,MATCH(186,'Sign-ups'!$AO$2:$AO$301,0)),"")</f>
        <v/>
      </c>
      <c r="I191" s="26">
        <f>IFERROR(INDEX('Sign-ups'!$AN$2:$AN$301,MATCH(186,'Sign-ups'!$AO$2:$AO$301,0)),"")</f>
        <v/>
      </c>
      <c r="J191" s="26">
        <f>IFERROR(INDEX('Sign-ups'!$AA$2:$AA$301,MATCH(186,'Sign-ups'!$AO$2:$AO$301,0))&amp;"","")</f>
        <v/>
      </c>
      <c r="K191" s="27">
        <f>IFERROR(INDEX('Sign-ups'!$AB$2:$AB$301,MATCH(186,'Sign-ups'!$AO$2:$AO$301,0))&amp;"","")</f>
        <v/>
      </c>
    </row>
    <row r="192">
      <c r="A192" s="26">
        <f>IF(ISNUMBER(MATCH(187,'Sign-ups'!$AO$2:$AO$301,0)),187,"")</f>
        <v/>
      </c>
      <c r="B192" s="27">
        <f>IFERROR(INDEX('Sign-ups'!$AE$2:$AE$301,MATCH(187,'Sign-ups'!$AO$2:$AO$301,0)),"")</f>
        <v/>
      </c>
      <c r="C192" s="27">
        <f>IFERROR(INDEX('Sign-ups'!$AF$2:$AF$301,MATCH(187,'Sign-ups'!$AO$2:$AO$301,0)),"")</f>
        <v/>
      </c>
      <c r="D192" s="27">
        <f>IFERROR(INDEX('Sign-ups'!$AG$2:$AG$301,MATCH(187,'Sign-ups'!$AO$2:$AO$301,0)),"")</f>
        <v/>
      </c>
      <c r="E192" s="27">
        <f>IFERROR(INDEX('Sign-ups'!$AH$2:$AH$301,MATCH(187,'Sign-ups'!$AO$2:$AO$301,0)),"")</f>
        <v/>
      </c>
      <c r="F192" s="27">
        <f>IFERROR(INDEX('Sign-ups'!$AI$2:$AI$301,MATCH(187,'Sign-ups'!$AO$2:$AO$301,0)),"")</f>
        <v/>
      </c>
      <c r="G192" s="27">
        <f>IFERROR(INDEX('Sign-ups'!$AK$2:$AK$301,MATCH(187,'Sign-ups'!$AO$2:$AO$301,0)),"")</f>
        <v/>
      </c>
      <c r="H192" s="26">
        <f>IFERROR(INDEX('Sign-ups'!$AJ$2:$AJ$301,MATCH(187,'Sign-ups'!$AO$2:$AO$301,0)),"")</f>
        <v/>
      </c>
      <c r="I192" s="26">
        <f>IFERROR(INDEX('Sign-ups'!$AN$2:$AN$301,MATCH(187,'Sign-ups'!$AO$2:$AO$301,0)),"")</f>
        <v/>
      </c>
      <c r="J192" s="26">
        <f>IFERROR(INDEX('Sign-ups'!$AA$2:$AA$301,MATCH(187,'Sign-ups'!$AO$2:$AO$301,0))&amp;"","")</f>
        <v/>
      </c>
      <c r="K192" s="27">
        <f>IFERROR(INDEX('Sign-ups'!$AB$2:$AB$301,MATCH(187,'Sign-ups'!$AO$2:$AO$301,0))&amp;"","")</f>
        <v/>
      </c>
    </row>
    <row r="193">
      <c r="A193" s="26">
        <f>IF(ISNUMBER(MATCH(188,'Sign-ups'!$AO$2:$AO$301,0)),188,"")</f>
        <v/>
      </c>
      <c r="B193" s="27">
        <f>IFERROR(INDEX('Sign-ups'!$AE$2:$AE$301,MATCH(188,'Sign-ups'!$AO$2:$AO$301,0)),"")</f>
        <v/>
      </c>
      <c r="C193" s="27">
        <f>IFERROR(INDEX('Sign-ups'!$AF$2:$AF$301,MATCH(188,'Sign-ups'!$AO$2:$AO$301,0)),"")</f>
        <v/>
      </c>
      <c r="D193" s="27">
        <f>IFERROR(INDEX('Sign-ups'!$AG$2:$AG$301,MATCH(188,'Sign-ups'!$AO$2:$AO$301,0)),"")</f>
        <v/>
      </c>
      <c r="E193" s="27">
        <f>IFERROR(INDEX('Sign-ups'!$AH$2:$AH$301,MATCH(188,'Sign-ups'!$AO$2:$AO$301,0)),"")</f>
        <v/>
      </c>
      <c r="F193" s="27">
        <f>IFERROR(INDEX('Sign-ups'!$AI$2:$AI$301,MATCH(188,'Sign-ups'!$AO$2:$AO$301,0)),"")</f>
        <v/>
      </c>
      <c r="G193" s="27">
        <f>IFERROR(INDEX('Sign-ups'!$AK$2:$AK$301,MATCH(188,'Sign-ups'!$AO$2:$AO$301,0)),"")</f>
        <v/>
      </c>
      <c r="H193" s="26">
        <f>IFERROR(INDEX('Sign-ups'!$AJ$2:$AJ$301,MATCH(188,'Sign-ups'!$AO$2:$AO$301,0)),"")</f>
        <v/>
      </c>
      <c r="I193" s="26">
        <f>IFERROR(INDEX('Sign-ups'!$AN$2:$AN$301,MATCH(188,'Sign-ups'!$AO$2:$AO$301,0)),"")</f>
        <v/>
      </c>
      <c r="J193" s="26">
        <f>IFERROR(INDEX('Sign-ups'!$AA$2:$AA$301,MATCH(188,'Sign-ups'!$AO$2:$AO$301,0))&amp;"","")</f>
        <v/>
      </c>
      <c r="K193" s="27">
        <f>IFERROR(INDEX('Sign-ups'!$AB$2:$AB$301,MATCH(188,'Sign-ups'!$AO$2:$AO$301,0))&amp;"","")</f>
        <v/>
      </c>
    </row>
    <row r="194">
      <c r="A194" s="26">
        <f>IF(ISNUMBER(MATCH(189,'Sign-ups'!$AO$2:$AO$301,0)),189,"")</f>
        <v/>
      </c>
      <c r="B194" s="27">
        <f>IFERROR(INDEX('Sign-ups'!$AE$2:$AE$301,MATCH(189,'Sign-ups'!$AO$2:$AO$301,0)),"")</f>
        <v/>
      </c>
      <c r="C194" s="27">
        <f>IFERROR(INDEX('Sign-ups'!$AF$2:$AF$301,MATCH(189,'Sign-ups'!$AO$2:$AO$301,0)),"")</f>
        <v/>
      </c>
      <c r="D194" s="27">
        <f>IFERROR(INDEX('Sign-ups'!$AG$2:$AG$301,MATCH(189,'Sign-ups'!$AO$2:$AO$301,0)),"")</f>
        <v/>
      </c>
      <c r="E194" s="27">
        <f>IFERROR(INDEX('Sign-ups'!$AH$2:$AH$301,MATCH(189,'Sign-ups'!$AO$2:$AO$301,0)),"")</f>
        <v/>
      </c>
      <c r="F194" s="27">
        <f>IFERROR(INDEX('Sign-ups'!$AI$2:$AI$301,MATCH(189,'Sign-ups'!$AO$2:$AO$301,0)),"")</f>
        <v/>
      </c>
      <c r="G194" s="27">
        <f>IFERROR(INDEX('Sign-ups'!$AK$2:$AK$301,MATCH(189,'Sign-ups'!$AO$2:$AO$301,0)),"")</f>
        <v/>
      </c>
      <c r="H194" s="26">
        <f>IFERROR(INDEX('Sign-ups'!$AJ$2:$AJ$301,MATCH(189,'Sign-ups'!$AO$2:$AO$301,0)),"")</f>
        <v/>
      </c>
      <c r="I194" s="26">
        <f>IFERROR(INDEX('Sign-ups'!$AN$2:$AN$301,MATCH(189,'Sign-ups'!$AO$2:$AO$301,0)),"")</f>
        <v/>
      </c>
      <c r="J194" s="26">
        <f>IFERROR(INDEX('Sign-ups'!$AA$2:$AA$301,MATCH(189,'Sign-ups'!$AO$2:$AO$301,0))&amp;"","")</f>
        <v/>
      </c>
      <c r="K194" s="27">
        <f>IFERROR(INDEX('Sign-ups'!$AB$2:$AB$301,MATCH(189,'Sign-ups'!$AO$2:$AO$301,0))&amp;"","")</f>
        <v/>
      </c>
    </row>
    <row r="195">
      <c r="A195" s="26">
        <f>IF(ISNUMBER(MATCH(190,'Sign-ups'!$AO$2:$AO$301,0)),190,"")</f>
        <v/>
      </c>
      <c r="B195" s="27">
        <f>IFERROR(INDEX('Sign-ups'!$AE$2:$AE$301,MATCH(190,'Sign-ups'!$AO$2:$AO$301,0)),"")</f>
        <v/>
      </c>
      <c r="C195" s="27">
        <f>IFERROR(INDEX('Sign-ups'!$AF$2:$AF$301,MATCH(190,'Sign-ups'!$AO$2:$AO$301,0)),"")</f>
        <v/>
      </c>
      <c r="D195" s="27">
        <f>IFERROR(INDEX('Sign-ups'!$AG$2:$AG$301,MATCH(190,'Sign-ups'!$AO$2:$AO$301,0)),"")</f>
        <v/>
      </c>
      <c r="E195" s="27">
        <f>IFERROR(INDEX('Sign-ups'!$AH$2:$AH$301,MATCH(190,'Sign-ups'!$AO$2:$AO$301,0)),"")</f>
        <v/>
      </c>
      <c r="F195" s="27">
        <f>IFERROR(INDEX('Sign-ups'!$AI$2:$AI$301,MATCH(190,'Sign-ups'!$AO$2:$AO$301,0)),"")</f>
        <v/>
      </c>
      <c r="G195" s="27">
        <f>IFERROR(INDEX('Sign-ups'!$AK$2:$AK$301,MATCH(190,'Sign-ups'!$AO$2:$AO$301,0)),"")</f>
        <v/>
      </c>
      <c r="H195" s="26">
        <f>IFERROR(INDEX('Sign-ups'!$AJ$2:$AJ$301,MATCH(190,'Sign-ups'!$AO$2:$AO$301,0)),"")</f>
        <v/>
      </c>
      <c r="I195" s="26">
        <f>IFERROR(INDEX('Sign-ups'!$AN$2:$AN$301,MATCH(190,'Sign-ups'!$AO$2:$AO$301,0)),"")</f>
        <v/>
      </c>
      <c r="J195" s="26">
        <f>IFERROR(INDEX('Sign-ups'!$AA$2:$AA$301,MATCH(190,'Sign-ups'!$AO$2:$AO$301,0))&amp;"","")</f>
        <v/>
      </c>
      <c r="K195" s="27">
        <f>IFERROR(INDEX('Sign-ups'!$AB$2:$AB$301,MATCH(190,'Sign-ups'!$AO$2:$AO$301,0))&amp;"","")</f>
        <v/>
      </c>
    </row>
    <row r="196">
      <c r="A196" s="26">
        <f>IF(ISNUMBER(MATCH(191,'Sign-ups'!$AO$2:$AO$301,0)),191,"")</f>
        <v/>
      </c>
      <c r="B196" s="27">
        <f>IFERROR(INDEX('Sign-ups'!$AE$2:$AE$301,MATCH(191,'Sign-ups'!$AO$2:$AO$301,0)),"")</f>
        <v/>
      </c>
      <c r="C196" s="27">
        <f>IFERROR(INDEX('Sign-ups'!$AF$2:$AF$301,MATCH(191,'Sign-ups'!$AO$2:$AO$301,0)),"")</f>
        <v/>
      </c>
      <c r="D196" s="27">
        <f>IFERROR(INDEX('Sign-ups'!$AG$2:$AG$301,MATCH(191,'Sign-ups'!$AO$2:$AO$301,0)),"")</f>
        <v/>
      </c>
      <c r="E196" s="27">
        <f>IFERROR(INDEX('Sign-ups'!$AH$2:$AH$301,MATCH(191,'Sign-ups'!$AO$2:$AO$301,0)),"")</f>
        <v/>
      </c>
      <c r="F196" s="27">
        <f>IFERROR(INDEX('Sign-ups'!$AI$2:$AI$301,MATCH(191,'Sign-ups'!$AO$2:$AO$301,0)),"")</f>
        <v/>
      </c>
      <c r="G196" s="27">
        <f>IFERROR(INDEX('Sign-ups'!$AK$2:$AK$301,MATCH(191,'Sign-ups'!$AO$2:$AO$301,0)),"")</f>
        <v/>
      </c>
      <c r="H196" s="26">
        <f>IFERROR(INDEX('Sign-ups'!$AJ$2:$AJ$301,MATCH(191,'Sign-ups'!$AO$2:$AO$301,0)),"")</f>
        <v/>
      </c>
      <c r="I196" s="26">
        <f>IFERROR(INDEX('Sign-ups'!$AN$2:$AN$301,MATCH(191,'Sign-ups'!$AO$2:$AO$301,0)),"")</f>
        <v/>
      </c>
      <c r="J196" s="26">
        <f>IFERROR(INDEX('Sign-ups'!$AA$2:$AA$301,MATCH(191,'Sign-ups'!$AO$2:$AO$301,0))&amp;"","")</f>
        <v/>
      </c>
      <c r="K196" s="27">
        <f>IFERROR(INDEX('Sign-ups'!$AB$2:$AB$301,MATCH(191,'Sign-ups'!$AO$2:$AO$301,0))&amp;"","")</f>
        <v/>
      </c>
    </row>
    <row r="197">
      <c r="A197" s="26">
        <f>IF(ISNUMBER(MATCH(192,'Sign-ups'!$AO$2:$AO$301,0)),192,"")</f>
        <v/>
      </c>
      <c r="B197" s="27">
        <f>IFERROR(INDEX('Sign-ups'!$AE$2:$AE$301,MATCH(192,'Sign-ups'!$AO$2:$AO$301,0)),"")</f>
        <v/>
      </c>
      <c r="C197" s="27">
        <f>IFERROR(INDEX('Sign-ups'!$AF$2:$AF$301,MATCH(192,'Sign-ups'!$AO$2:$AO$301,0)),"")</f>
        <v/>
      </c>
      <c r="D197" s="27">
        <f>IFERROR(INDEX('Sign-ups'!$AG$2:$AG$301,MATCH(192,'Sign-ups'!$AO$2:$AO$301,0)),"")</f>
        <v/>
      </c>
      <c r="E197" s="27">
        <f>IFERROR(INDEX('Sign-ups'!$AH$2:$AH$301,MATCH(192,'Sign-ups'!$AO$2:$AO$301,0)),"")</f>
        <v/>
      </c>
      <c r="F197" s="27">
        <f>IFERROR(INDEX('Sign-ups'!$AI$2:$AI$301,MATCH(192,'Sign-ups'!$AO$2:$AO$301,0)),"")</f>
        <v/>
      </c>
      <c r="G197" s="27">
        <f>IFERROR(INDEX('Sign-ups'!$AK$2:$AK$301,MATCH(192,'Sign-ups'!$AO$2:$AO$301,0)),"")</f>
        <v/>
      </c>
      <c r="H197" s="26">
        <f>IFERROR(INDEX('Sign-ups'!$AJ$2:$AJ$301,MATCH(192,'Sign-ups'!$AO$2:$AO$301,0)),"")</f>
        <v/>
      </c>
      <c r="I197" s="26">
        <f>IFERROR(INDEX('Sign-ups'!$AN$2:$AN$301,MATCH(192,'Sign-ups'!$AO$2:$AO$301,0)),"")</f>
        <v/>
      </c>
      <c r="J197" s="26">
        <f>IFERROR(INDEX('Sign-ups'!$AA$2:$AA$301,MATCH(192,'Sign-ups'!$AO$2:$AO$301,0))&amp;"","")</f>
        <v/>
      </c>
      <c r="K197" s="27">
        <f>IFERROR(INDEX('Sign-ups'!$AB$2:$AB$301,MATCH(192,'Sign-ups'!$AO$2:$AO$301,0))&amp;"","")</f>
        <v/>
      </c>
    </row>
    <row r="198">
      <c r="A198" s="26">
        <f>IF(ISNUMBER(MATCH(193,'Sign-ups'!$AO$2:$AO$301,0)),193,"")</f>
        <v/>
      </c>
      <c r="B198" s="27">
        <f>IFERROR(INDEX('Sign-ups'!$AE$2:$AE$301,MATCH(193,'Sign-ups'!$AO$2:$AO$301,0)),"")</f>
        <v/>
      </c>
      <c r="C198" s="27">
        <f>IFERROR(INDEX('Sign-ups'!$AF$2:$AF$301,MATCH(193,'Sign-ups'!$AO$2:$AO$301,0)),"")</f>
        <v/>
      </c>
      <c r="D198" s="27">
        <f>IFERROR(INDEX('Sign-ups'!$AG$2:$AG$301,MATCH(193,'Sign-ups'!$AO$2:$AO$301,0)),"")</f>
        <v/>
      </c>
      <c r="E198" s="27">
        <f>IFERROR(INDEX('Sign-ups'!$AH$2:$AH$301,MATCH(193,'Sign-ups'!$AO$2:$AO$301,0)),"")</f>
        <v/>
      </c>
      <c r="F198" s="27">
        <f>IFERROR(INDEX('Sign-ups'!$AI$2:$AI$301,MATCH(193,'Sign-ups'!$AO$2:$AO$301,0)),"")</f>
        <v/>
      </c>
      <c r="G198" s="27">
        <f>IFERROR(INDEX('Sign-ups'!$AK$2:$AK$301,MATCH(193,'Sign-ups'!$AO$2:$AO$301,0)),"")</f>
        <v/>
      </c>
      <c r="H198" s="26">
        <f>IFERROR(INDEX('Sign-ups'!$AJ$2:$AJ$301,MATCH(193,'Sign-ups'!$AO$2:$AO$301,0)),"")</f>
        <v/>
      </c>
      <c r="I198" s="26">
        <f>IFERROR(INDEX('Sign-ups'!$AN$2:$AN$301,MATCH(193,'Sign-ups'!$AO$2:$AO$301,0)),"")</f>
        <v/>
      </c>
      <c r="J198" s="26">
        <f>IFERROR(INDEX('Sign-ups'!$AA$2:$AA$301,MATCH(193,'Sign-ups'!$AO$2:$AO$301,0))&amp;"","")</f>
        <v/>
      </c>
      <c r="K198" s="27">
        <f>IFERROR(INDEX('Sign-ups'!$AB$2:$AB$301,MATCH(193,'Sign-ups'!$AO$2:$AO$301,0))&amp;"","")</f>
        <v/>
      </c>
    </row>
    <row r="199">
      <c r="A199" s="26">
        <f>IF(ISNUMBER(MATCH(194,'Sign-ups'!$AO$2:$AO$301,0)),194,"")</f>
        <v/>
      </c>
      <c r="B199" s="27">
        <f>IFERROR(INDEX('Sign-ups'!$AE$2:$AE$301,MATCH(194,'Sign-ups'!$AO$2:$AO$301,0)),"")</f>
        <v/>
      </c>
      <c r="C199" s="27">
        <f>IFERROR(INDEX('Sign-ups'!$AF$2:$AF$301,MATCH(194,'Sign-ups'!$AO$2:$AO$301,0)),"")</f>
        <v/>
      </c>
      <c r="D199" s="27">
        <f>IFERROR(INDEX('Sign-ups'!$AG$2:$AG$301,MATCH(194,'Sign-ups'!$AO$2:$AO$301,0)),"")</f>
        <v/>
      </c>
      <c r="E199" s="27">
        <f>IFERROR(INDEX('Sign-ups'!$AH$2:$AH$301,MATCH(194,'Sign-ups'!$AO$2:$AO$301,0)),"")</f>
        <v/>
      </c>
      <c r="F199" s="27">
        <f>IFERROR(INDEX('Sign-ups'!$AI$2:$AI$301,MATCH(194,'Sign-ups'!$AO$2:$AO$301,0)),"")</f>
        <v/>
      </c>
      <c r="G199" s="27">
        <f>IFERROR(INDEX('Sign-ups'!$AK$2:$AK$301,MATCH(194,'Sign-ups'!$AO$2:$AO$301,0)),"")</f>
        <v/>
      </c>
      <c r="H199" s="26">
        <f>IFERROR(INDEX('Sign-ups'!$AJ$2:$AJ$301,MATCH(194,'Sign-ups'!$AO$2:$AO$301,0)),"")</f>
        <v/>
      </c>
      <c r="I199" s="26">
        <f>IFERROR(INDEX('Sign-ups'!$AN$2:$AN$301,MATCH(194,'Sign-ups'!$AO$2:$AO$301,0)),"")</f>
        <v/>
      </c>
      <c r="J199" s="26">
        <f>IFERROR(INDEX('Sign-ups'!$AA$2:$AA$301,MATCH(194,'Sign-ups'!$AO$2:$AO$301,0))&amp;"","")</f>
        <v/>
      </c>
      <c r="K199" s="27">
        <f>IFERROR(INDEX('Sign-ups'!$AB$2:$AB$301,MATCH(194,'Sign-ups'!$AO$2:$AO$301,0))&amp;"","")</f>
        <v/>
      </c>
    </row>
    <row r="200">
      <c r="A200" s="26">
        <f>IF(ISNUMBER(MATCH(195,'Sign-ups'!$AO$2:$AO$301,0)),195,"")</f>
        <v/>
      </c>
      <c r="B200" s="27">
        <f>IFERROR(INDEX('Sign-ups'!$AE$2:$AE$301,MATCH(195,'Sign-ups'!$AO$2:$AO$301,0)),"")</f>
        <v/>
      </c>
      <c r="C200" s="27">
        <f>IFERROR(INDEX('Sign-ups'!$AF$2:$AF$301,MATCH(195,'Sign-ups'!$AO$2:$AO$301,0)),"")</f>
        <v/>
      </c>
      <c r="D200" s="27">
        <f>IFERROR(INDEX('Sign-ups'!$AG$2:$AG$301,MATCH(195,'Sign-ups'!$AO$2:$AO$301,0)),"")</f>
        <v/>
      </c>
      <c r="E200" s="27">
        <f>IFERROR(INDEX('Sign-ups'!$AH$2:$AH$301,MATCH(195,'Sign-ups'!$AO$2:$AO$301,0)),"")</f>
        <v/>
      </c>
      <c r="F200" s="27">
        <f>IFERROR(INDEX('Sign-ups'!$AI$2:$AI$301,MATCH(195,'Sign-ups'!$AO$2:$AO$301,0)),"")</f>
        <v/>
      </c>
      <c r="G200" s="27">
        <f>IFERROR(INDEX('Sign-ups'!$AK$2:$AK$301,MATCH(195,'Sign-ups'!$AO$2:$AO$301,0)),"")</f>
        <v/>
      </c>
      <c r="H200" s="26">
        <f>IFERROR(INDEX('Sign-ups'!$AJ$2:$AJ$301,MATCH(195,'Sign-ups'!$AO$2:$AO$301,0)),"")</f>
        <v/>
      </c>
      <c r="I200" s="26">
        <f>IFERROR(INDEX('Sign-ups'!$AN$2:$AN$301,MATCH(195,'Sign-ups'!$AO$2:$AO$301,0)),"")</f>
        <v/>
      </c>
      <c r="J200" s="26">
        <f>IFERROR(INDEX('Sign-ups'!$AA$2:$AA$301,MATCH(195,'Sign-ups'!$AO$2:$AO$301,0))&amp;"","")</f>
        <v/>
      </c>
      <c r="K200" s="27">
        <f>IFERROR(INDEX('Sign-ups'!$AB$2:$AB$301,MATCH(195,'Sign-ups'!$AO$2:$AO$301,0))&amp;"","")</f>
        <v/>
      </c>
    </row>
    <row r="201">
      <c r="A201" s="26">
        <f>IF(ISNUMBER(MATCH(196,'Sign-ups'!$AO$2:$AO$301,0)),196,"")</f>
        <v/>
      </c>
      <c r="B201" s="27">
        <f>IFERROR(INDEX('Sign-ups'!$AE$2:$AE$301,MATCH(196,'Sign-ups'!$AO$2:$AO$301,0)),"")</f>
        <v/>
      </c>
      <c r="C201" s="27">
        <f>IFERROR(INDEX('Sign-ups'!$AF$2:$AF$301,MATCH(196,'Sign-ups'!$AO$2:$AO$301,0)),"")</f>
        <v/>
      </c>
      <c r="D201" s="27">
        <f>IFERROR(INDEX('Sign-ups'!$AG$2:$AG$301,MATCH(196,'Sign-ups'!$AO$2:$AO$301,0)),"")</f>
        <v/>
      </c>
      <c r="E201" s="27">
        <f>IFERROR(INDEX('Sign-ups'!$AH$2:$AH$301,MATCH(196,'Sign-ups'!$AO$2:$AO$301,0)),"")</f>
        <v/>
      </c>
      <c r="F201" s="27">
        <f>IFERROR(INDEX('Sign-ups'!$AI$2:$AI$301,MATCH(196,'Sign-ups'!$AO$2:$AO$301,0)),"")</f>
        <v/>
      </c>
      <c r="G201" s="27">
        <f>IFERROR(INDEX('Sign-ups'!$AK$2:$AK$301,MATCH(196,'Sign-ups'!$AO$2:$AO$301,0)),"")</f>
        <v/>
      </c>
      <c r="H201" s="26">
        <f>IFERROR(INDEX('Sign-ups'!$AJ$2:$AJ$301,MATCH(196,'Sign-ups'!$AO$2:$AO$301,0)),"")</f>
        <v/>
      </c>
      <c r="I201" s="26">
        <f>IFERROR(INDEX('Sign-ups'!$AN$2:$AN$301,MATCH(196,'Sign-ups'!$AO$2:$AO$301,0)),"")</f>
        <v/>
      </c>
      <c r="J201" s="26">
        <f>IFERROR(INDEX('Sign-ups'!$AA$2:$AA$301,MATCH(196,'Sign-ups'!$AO$2:$AO$301,0))&amp;"","")</f>
        <v/>
      </c>
      <c r="K201" s="27">
        <f>IFERROR(INDEX('Sign-ups'!$AB$2:$AB$301,MATCH(196,'Sign-ups'!$AO$2:$AO$301,0))&amp;"","")</f>
        <v/>
      </c>
    </row>
    <row r="202">
      <c r="A202" s="26">
        <f>IF(ISNUMBER(MATCH(197,'Sign-ups'!$AO$2:$AO$301,0)),197,"")</f>
        <v/>
      </c>
      <c r="B202" s="27">
        <f>IFERROR(INDEX('Sign-ups'!$AE$2:$AE$301,MATCH(197,'Sign-ups'!$AO$2:$AO$301,0)),"")</f>
        <v/>
      </c>
      <c r="C202" s="27">
        <f>IFERROR(INDEX('Sign-ups'!$AF$2:$AF$301,MATCH(197,'Sign-ups'!$AO$2:$AO$301,0)),"")</f>
        <v/>
      </c>
      <c r="D202" s="27">
        <f>IFERROR(INDEX('Sign-ups'!$AG$2:$AG$301,MATCH(197,'Sign-ups'!$AO$2:$AO$301,0)),"")</f>
        <v/>
      </c>
      <c r="E202" s="27">
        <f>IFERROR(INDEX('Sign-ups'!$AH$2:$AH$301,MATCH(197,'Sign-ups'!$AO$2:$AO$301,0)),"")</f>
        <v/>
      </c>
      <c r="F202" s="27">
        <f>IFERROR(INDEX('Sign-ups'!$AI$2:$AI$301,MATCH(197,'Sign-ups'!$AO$2:$AO$301,0)),"")</f>
        <v/>
      </c>
      <c r="G202" s="27">
        <f>IFERROR(INDEX('Sign-ups'!$AK$2:$AK$301,MATCH(197,'Sign-ups'!$AO$2:$AO$301,0)),"")</f>
        <v/>
      </c>
      <c r="H202" s="26">
        <f>IFERROR(INDEX('Sign-ups'!$AJ$2:$AJ$301,MATCH(197,'Sign-ups'!$AO$2:$AO$301,0)),"")</f>
        <v/>
      </c>
      <c r="I202" s="26">
        <f>IFERROR(INDEX('Sign-ups'!$AN$2:$AN$301,MATCH(197,'Sign-ups'!$AO$2:$AO$301,0)),"")</f>
        <v/>
      </c>
      <c r="J202" s="26">
        <f>IFERROR(INDEX('Sign-ups'!$AA$2:$AA$301,MATCH(197,'Sign-ups'!$AO$2:$AO$301,0))&amp;"","")</f>
        <v/>
      </c>
      <c r="K202" s="27">
        <f>IFERROR(INDEX('Sign-ups'!$AB$2:$AB$301,MATCH(197,'Sign-ups'!$AO$2:$AO$301,0))&amp;"","")</f>
        <v/>
      </c>
    </row>
    <row r="203">
      <c r="A203" s="26">
        <f>IF(ISNUMBER(MATCH(198,'Sign-ups'!$AO$2:$AO$301,0)),198,"")</f>
        <v/>
      </c>
      <c r="B203" s="27">
        <f>IFERROR(INDEX('Sign-ups'!$AE$2:$AE$301,MATCH(198,'Sign-ups'!$AO$2:$AO$301,0)),"")</f>
        <v/>
      </c>
      <c r="C203" s="27">
        <f>IFERROR(INDEX('Sign-ups'!$AF$2:$AF$301,MATCH(198,'Sign-ups'!$AO$2:$AO$301,0)),"")</f>
        <v/>
      </c>
      <c r="D203" s="27">
        <f>IFERROR(INDEX('Sign-ups'!$AG$2:$AG$301,MATCH(198,'Sign-ups'!$AO$2:$AO$301,0)),"")</f>
        <v/>
      </c>
      <c r="E203" s="27">
        <f>IFERROR(INDEX('Sign-ups'!$AH$2:$AH$301,MATCH(198,'Sign-ups'!$AO$2:$AO$301,0)),"")</f>
        <v/>
      </c>
      <c r="F203" s="27">
        <f>IFERROR(INDEX('Sign-ups'!$AI$2:$AI$301,MATCH(198,'Sign-ups'!$AO$2:$AO$301,0)),"")</f>
        <v/>
      </c>
      <c r="G203" s="27">
        <f>IFERROR(INDEX('Sign-ups'!$AK$2:$AK$301,MATCH(198,'Sign-ups'!$AO$2:$AO$301,0)),"")</f>
        <v/>
      </c>
      <c r="H203" s="26">
        <f>IFERROR(INDEX('Sign-ups'!$AJ$2:$AJ$301,MATCH(198,'Sign-ups'!$AO$2:$AO$301,0)),"")</f>
        <v/>
      </c>
      <c r="I203" s="26">
        <f>IFERROR(INDEX('Sign-ups'!$AN$2:$AN$301,MATCH(198,'Sign-ups'!$AO$2:$AO$301,0)),"")</f>
        <v/>
      </c>
      <c r="J203" s="26">
        <f>IFERROR(INDEX('Sign-ups'!$AA$2:$AA$301,MATCH(198,'Sign-ups'!$AO$2:$AO$301,0))&amp;"","")</f>
        <v/>
      </c>
      <c r="K203" s="27">
        <f>IFERROR(INDEX('Sign-ups'!$AB$2:$AB$301,MATCH(198,'Sign-ups'!$AO$2:$AO$301,0))&amp;"","")</f>
        <v/>
      </c>
    </row>
    <row r="204">
      <c r="A204" s="26">
        <f>IF(ISNUMBER(MATCH(199,'Sign-ups'!$AO$2:$AO$301,0)),199,"")</f>
        <v/>
      </c>
      <c r="B204" s="27">
        <f>IFERROR(INDEX('Sign-ups'!$AE$2:$AE$301,MATCH(199,'Sign-ups'!$AO$2:$AO$301,0)),"")</f>
        <v/>
      </c>
      <c r="C204" s="27">
        <f>IFERROR(INDEX('Sign-ups'!$AF$2:$AF$301,MATCH(199,'Sign-ups'!$AO$2:$AO$301,0)),"")</f>
        <v/>
      </c>
      <c r="D204" s="27">
        <f>IFERROR(INDEX('Sign-ups'!$AG$2:$AG$301,MATCH(199,'Sign-ups'!$AO$2:$AO$301,0)),"")</f>
        <v/>
      </c>
      <c r="E204" s="27">
        <f>IFERROR(INDEX('Sign-ups'!$AH$2:$AH$301,MATCH(199,'Sign-ups'!$AO$2:$AO$301,0)),"")</f>
        <v/>
      </c>
      <c r="F204" s="27">
        <f>IFERROR(INDEX('Sign-ups'!$AI$2:$AI$301,MATCH(199,'Sign-ups'!$AO$2:$AO$301,0)),"")</f>
        <v/>
      </c>
      <c r="G204" s="27">
        <f>IFERROR(INDEX('Sign-ups'!$AK$2:$AK$301,MATCH(199,'Sign-ups'!$AO$2:$AO$301,0)),"")</f>
        <v/>
      </c>
      <c r="H204" s="26">
        <f>IFERROR(INDEX('Sign-ups'!$AJ$2:$AJ$301,MATCH(199,'Sign-ups'!$AO$2:$AO$301,0)),"")</f>
        <v/>
      </c>
      <c r="I204" s="26">
        <f>IFERROR(INDEX('Sign-ups'!$AN$2:$AN$301,MATCH(199,'Sign-ups'!$AO$2:$AO$301,0)),"")</f>
        <v/>
      </c>
      <c r="J204" s="26">
        <f>IFERROR(INDEX('Sign-ups'!$AA$2:$AA$301,MATCH(199,'Sign-ups'!$AO$2:$AO$301,0))&amp;"","")</f>
        <v/>
      </c>
      <c r="K204" s="27">
        <f>IFERROR(INDEX('Sign-ups'!$AB$2:$AB$301,MATCH(199,'Sign-ups'!$AO$2:$AO$301,0))&amp;"","")</f>
        <v/>
      </c>
    </row>
    <row r="205">
      <c r="A205" s="26">
        <f>IF(ISNUMBER(MATCH(200,'Sign-ups'!$AO$2:$AO$301,0)),200,"")</f>
        <v/>
      </c>
      <c r="B205" s="27">
        <f>IFERROR(INDEX('Sign-ups'!$AE$2:$AE$301,MATCH(200,'Sign-ups'!$AO$2:$AO$301,0)),"")</f>
        <v/>
      </c>
      <c r="C205" s="27">
        <f>IFERROR(INDEX('Sign-ups'!$AF$2:$AF$301,MATCH(200,'Sign-ups'!$AO$2:$AO$301,0)),"")</f>
        <v/>
      </c>
      <c r="D205" s="27">
        <f>IFERROR(INDEX('Sign-ups'!$AG$2:$AG$301,MATCH(200,'Sign-ups'!$AO$2:$AO$301,0)),"")</f>
        <v/>
      </c>
      <c r="E205" s="27">
        <f>IFERROR(INDEX('Sign-ups'!$AH$2:$AH$301,MATCH(200,'Sign-ups'!$AO$2:$AO$301,0)),"")</f>
        <v/>
      </c>
      <c r="F205" s="27">
        <f>IFERROR(INDEX('Sign-ups'!$AI$2:$AI$301,MATCH(200,'Sign-ups'!$AO$2:$AO$301,0)),"")</f>
        <v/>
      </c>
      <c r="G205" s="27">
        <f>IFERROR(INDEX('Sign-ups'!$AK$2:$AK$301,MATCH(200,'Sign-ups'!$AO$2:$AO$301,0)),"")</f>
        <v/>
      </c>
      <c r="H205" s="26">
        <f>IFERROR(INDEX('Sign-ups'!$AJ$2:$AJ$301,MATCH(200,'Sign-ups'!$AO$2:$AO$301,0)),"")</f>
        <v/>
      </c>
      <c r="I205" s="26">
        <f>IFERROR(INDEX('Sign-ups'!$AN$2:$AN$301,MATCH(200,'Sign-ups'!$AO$2:$AO$301,0)),"")</f>
        <v/>
      </c>
      <c r="J205" s="26">
        <f>IFERROR(INDEX('Sign-ups'!$AA$2:$AA$301,MATCH(200,'Sign-ups'!$AO$2:$AO$301,0))&amp;"","")</f>
        <v/>
      </c>
      <c r="K205" s="27">
        <f>IFERROR(INDEX('Sign-ups'!$AB$2:$AB$301,MATCH(200,'Sign-ups'!$AO$2:$AO$301,0))&amp;"","")</f>
        <v/>
      </c>
    </row>
    <row r="206">
      <c r="A206" s="26">
        <f>IF(ISNUMBER(MATCH(201,'Sign-ups'!$AO$2:$AO$301,0)),201,"")</f>
        <v/>
      </c>
      <c r="B206" s="27">
        <f>IFERROR(INDEX('Sign-ups'!$AE$2:$AE$301,MATCH(201,'Sign-ups'!$AO$2:$AO$301,0)),"")</f>
        <v/>
      </c>
      <c r="C206" s="27">
        <f>IFERROR(INDEX('Sign-ups'!$AF$2:$AF$301,MATCH(201,'Sign-ups'!$AO$2:$AO$301,0)),"")</f>
        <v/>
      </c>
      <c r="D206" s="27">
        <f>IFERROR(INDEX('Sign-ups'!$AG$2:$AG$301,MATCH(201,'Sign-ups'!$AO$2:$AO$301,0)),"")</f>
        <v/>
      </c>
      <c r="E206" s="27">
        <f>IFERROR(INDEX('Sign-ups'!$AH$2:$AH$301,MATCH(201,'Sign-ups'!$AO$2:$AO$301,0)),"")</f>
        <v/>
      </c>
      <c r="F206" s="27">
        <f>IFERROR(INDEX('Sign-ups'!$AI$2:$AI$301,MATCH(201,'Sign-ups'!$AO$2:$AO$301,0)),"")</f>
        <v/>
      </c>
      <c r="G206" s="27">
        <f>IFERROR(INDEX('Sign-ups'!$AK$2:$AK$301,MATCH(201,'Sign-ups'!$AO$2:$AO$301,0)),"")</f>
        <v/>
      </c>
      <c r="H206" s="26">
        <f>IFERROR(INDEX('Sign-ups'!$AJ$2:$AJ$301,MATCH(201,'Sign-ups'!$AO$2:$AO$301,0)),"")</f>
        <v/>
      </c>
      <c r="I206" s="26">
        <f>IFERROR(INDEX('Sign-ups'!$AN$2:$AN$301,MATCH(201,'Sign-ups'!$AO$2:$AO$301,0)),"")</f>
        <v/>
      </c>
      <c r="J206" s="26">
        <f>IFERROR(INDEX('Sign-ups'!$AA$2:$AA$301,MATCH(201,'Sign-ups'!$AO$2:$AO$301,0))&amp;"","")</f>
        <v/>
      </c>
      <c r="K206" s="27">
        <f>IFERROR(INDEX('Sign-ups'!$AB$2:$AB$301,MATCH(201,'Sign-ups'!$AO$2:$AO$301,0))&amp;"","")</f>
        <v/>
      </c>
    </row>
    <row r="207">
      <c r="A207" s="26">
        <f>IF(ISNUMBER(MATCH(202,'Sign-ups'!$AO$2:$AO$301,0)),202,"")</f>
        <v/>
      </c>
      <c r="B207" s="27">
        <f>IFERROR(INDEX('Sign-ups'!$AE$2:$AE$301,MATCH(202,'Sign-ups'!$AO$2:$AO$301,0)),"")</f>
        <v/>
      </c>
      <c r="C207" s="27">
        <f>IFERROR(INDEX('Sign-ups'!$AF$2:$AF$301,MATCH(202,'Sign-ups'!$AO$2:$AO$301,0)),"")</f>
        <v/>
      </c>
      <c r="D207" s="27">
        <f>IFERROR(INDEX('Sign-ups'!$AG$2:$AG$301,MATCH(202,'Sign-ups'!$AO$2:$AO$301,0)),"")</f>
        <v/>
      </c>
      <c r="E207" s="27">
        <f>IFERROR(INDEX('Sign-ups'!$AH$2:$AH$301,MATCH(202,'Sign-ups'!$AO$2:$AO$301,0)),"")</f>
        <v/>
      </c>
      <c r="F207" s="27">
        <f>IFERROR(INDEX('Sign-ups'!$AI$2:$AI$301,MATCH(202,'Sign-ups'!$AO$2:$AO$301,0)),"")</f>
        <v/>
      </c>
      <c r="G207" s="27">
        <f>IFERROR(INDEX('Sign-ups'!$AK$2:$AK$301,MATCH(202,'Sign-ups'!$AO$2:$AO$301,0)),"")</f>
        <v/>
      </c>
      <c r="H207" s="26">
        <f>IFERROR(INDEX('Sign-ups'!$AJ$2:$AJ$301,MATCH(202,'Sign-ups'!$AO$2:$AO$301,0)),"")</f>
        <v/>
      </c>
      <c r="I207" s="26">
        <f>IFERROR(INDEX('Sign-ups'!$AN$2:$AN$301,MATCH(202,'Sign-ups'!$AO$2:$AO$301,0)),"")</f>
        <v/>
      </c>
      <c r="J207" s="26">
        <f>IFERROR(INDEX('Sign-ups'!$AA$2:$AA$301,MATCH(202,'Sign-ups'!$AO$2:$AO$301,0))&amp;"","")</f>
        <v/>
      </c>
      <c r="K207" s="27">
        <f>IFERROR(INDEX('Sign-ups'!$AB$2:$AB$301,MATCH(202,'Sign-ups'!$AO$2:$AO$301,0))&amp;"","")</f>
        <v/>
      </c>
    </row>
    <row r="208">
      <c r="A208" s="26">
        <f>IF(ISNUMBER(MATCH(203,'Sign-ups'!$AO$2:$AO$301,0)),203,"")</f>
        <v/>
      </c>
      <c r="B208" s="27">
        <f>IFERROR(INDEX('Sign-ups'!$AE$2:$AE$301,MATCH(203,'Sign-ups'!$AO$2:$AO$301,0)),"")</f>
        <v/>
      </c>
      <c r="C208" s="27">
        <f>IFERROR(INDEX('Sign-ups'!$AF$2:$AF$301,MATCH(203,'Sign-ups'!$AO$2:$AO$301,0)),"")</f>
        <v/>
      </c>
      <c r="D208" s="27">
        <f>IFERROR(INDEX('Sign-ups'!$AG$2:$AG$301,MATCH(203,'Sign-ups'!$AO$2:$AO$301,0)),"")</f>
        <v/>
      </c>
      <c r="E208" s="27">
        <f>IFERROR(INDEX('Sign-ups'!$AH$2:$AH$301,MATCH(203,'Sign-ups'!$AO$2:$AO$301,0)),"")</f>
        <v/>
      </c>
      <c r="F208" s="27">
        <f>IFERROR(INDEX('Sign-ups'!$AI$2:$AI$301,MATCH(203,'Sign-ups'!$AO$2:$AO$301,0)),"")</f>
        <v/>
      </c>
      <c r="G208" s="27">
        <f>IFERROR(INDEX('Sign-ups'!$AK$2:$AK$301,MATCH(203,'Sign-ups'!$AO$2:$AO$301,0)),"")</f>
        <v/>
      </c>
      <c r="H208" s="26">
        <f>IFERROR(INDEX('Sign-ups'!$AJ$2:$AJ$301,MATCH(203,'Sign-ups'!$AO$2:$AO$301,0)),"")</f>
        <v/>
      </c>
      <c r="I208" s="26">
        <f>IFERROR(INDEX('Sign-ups'!$AN$2:$AN$301,MATCH(203,'Sign-ups'!$AO$2:$AO$301,0)),"")</f>
        <v/>
      </c>
      <c r="J208" s="26">
        <f>IFERROR(INDEX('Sign-ups'!$AA$2:$AA$301,MATCH(203,'Sign-ups'!$AO$2:$AO$301,0))&amp;"","")</f>
        <v/>
      </c>
      <c r="K208" s="27">
        <f>IFERROR(INDEX('Sign-ups'!$AB$2:$AB$301,MATCH(203,'Sign-ups'!$AO$2:$AO$301,0))&amp;"","")</f>
        <v/>
      </c>
    </row>
    <row r="209">
      <c r="A209" s="26">
        <f>IF(ISNUMBER(MATCH(204,'Sign-ups'!$AO$2:$AO$301,0)),204,"")</f>
        <v/>
      </c>
      <c r="B209" s="27">
        <f>IFERROR(INDEX('Sign-ups'!$AE$2:$AE$301,MATCH(204,'Sign-ups'!$AO$2:$AO$301,0)),"")</f>
        <v/>
      </c>
      <c r="C209" s="27">
        <f>IFERROR(INDEX('Sign-ups'!$AF$2:$AF$301,MATCH(204,'Sign-ups'!$AO$2:$AO$301,0)),"")</f>
        <v/>
      </c>
      <c r="D209" s="27">
        <f>IFERROR(INDEX('Sign-ups'!$AG$2:$AG$301,MATCH(204,'Sign-ups'!$AO$2:$AO$301,0)),"")</f>
        <v/>
      </c>
      <c r="E209" s="27">
        <f>IFERROR(INDEX('Sign-ups'!$AH$2:$AH$301,MATCH(204,'Sign-ups'!$AO$2:$AO$301,0)),"")</f>
        <v/>
      </c>
      <c r="F209" s="27">
        <f>IFERROR(INDEX('Sign-ups'!$AI$2:$AI$301,MATCH(204,'Sign-ups'!$AO$2:$AO$301,0)),"")</f>
        <v/>
      </c>
      <c r="G209" s="27">
        <f>IFERROR(INDEX('Sign-ups'!$AK$2:$AK$301,MATCH(204,'Sign-ups'!$AO$2:$AO$301,0)),"")</f>
        <v/>
      </c>
      <c r="H209" s="26">
        <f>IFERROR(INDEX('Sign-ups'!$AJ$2:$AJ$301,MATCH(204,'Sign-ups'!$AO$2:$AO$301,0)),"")</f>
        <v/>
      </c>
      <c r="I209" s="26">
        <f>IFERROR(INDEX('Sign-ups'!$AN$2:$AN$301,MATCH(204,'Sign-ups'!$AO$2:$AO$301,0)),"")</f>
        <v/>
      </c>
      <c r="J209" s="26">
        <f>IFERROR(INDEX('Sign-ups'!$AA$2:$AA$301,MATCH(204,'Sign-ups'!$AO$2:$AO$301,0))&amp;"","")</f>
        <v/>
      </c>
      <c r="K209" s="27">
        <f>IFERROR(INDEX('Sign-ups'!$AB$2:$AB$301,MATCH(204,'Sign-ups'!$AO$2:$AO$301,0))&amp;"","")</f>
        <v/>
      </c>
    </row>
    <row r="210">
      <c r="A210" s="26">
        <f>IF(ISNUMBER(MATCH(205,'Sign-ups'!$AO$2:$AO$301,0)),205,"")</f>
        <v/>
      </c>
      <c r="B210" s="27">
        <f>IFERROR(INDEX('Sign-ups'!$AE$2:$AE$301,MATCH(205,'Sign-ups'!$AO$2:$AO$301,0)),"")</f>
        <v/>
      </c>
      <c r="C210" s="27">
        <f>IFERROR(INDEX('Sign-ups'!$AF$2:$AF$301,MATCH(205,'Sign-ups'!$AO$2:$AO$301,0)),"")</f>
        <v/>
      </c>
      <c r="D210" s="27">
        <f>IFERROR(INDEX('Sign-ups'!$AG$2:$AG$301,MATCH(205,'Sign-ups'!$AO$2:$AO$301,0)),"")</f>
        <v/>
      </c>
      <c r="E210" s="27">
        <f>IFERROR(INDEX('Sign-ups'!$AH$2:$AH$301,MATCH(205,'Sign-ups'!$AO$2:$AO$301,0)),"")</f>
        <v/>
      </c>
      <c r="F210" s="27">
        <f>IFERROR(INDEX('Sign-ups'!$AI$2:$AI$301,MATCH(205,'Sign-ups'!$AO$2:$AO$301,0)),"")</f>
        <v/>
      </c>
      <c r="G210" s="27">
        <f>IFERROR(INDEX('Sign-ups'!$AK$2:$AK$301,MATCH(205,'Sign-ups'!$AO$2:$AO$301,0)),"")</f>
        <v/>
      </c>
      <c r="H210" s="26">
        <f>IFERROR(INDEX('Sign-ups'!$AJ$2:$AJ$301,MATCH(205,'Sign-ups'!$AO$2:$AO$301,0)),"")</f>
        <v/>
      </c>
      <c r="I210" s="26">
        <f>IFERROR(INDEX('Sign-ups'!$AN$2:$AN$301,MATCH(205,'Sign-ups'!$AO$2:$AO$301,0)),"")</f>
        <v/>
      </c>
      <c r="J210" s="26">
        <f>IFERROR(INDEX('Sign-ups'!$AA$2:$AA$301,MATCH(205,'Sign-ups'!$AO$2:$AO$301,0))&amp;"","")</f>
        <v/>
      </c>
      <c r="K210" s="27">
        <f>IFERROR(INDEX('Sign-ups'!$AB$2:$AB$301,MATCH(205,'Sign-ups'!$AO$2:$AO$301,0))&amp;"","")</f>
        <v/>
      </c>
    </row>
    <row r="211">
      <c r="A211" s="26">
        <f>IF(ISNUMBER(MATCH(206,'Sign-ups'!$AO$2:$AO$301,0)),206,"")</f>
        <v/>
      </c>
      <c r="B211" s="27">
        <f>IFERROR(INDEX('Sign-ups'!$AE$2:$AE$301,MATCH(206,'Sign-ups'!$AO$2:$AO$301,0)),"")</f>
        <v/>
      </c>
      <c r="C211" s="27">
        <f>IFERROR(INDEX('Sign-ups'!$AF$2:$AF$301,MATCH(206,'Sign-ups'!$AO$2:$AO$301,0)),"")</f>
        <v/>
      </c>
      <c r="D211" s="27">
        <f>IFERROR(INDEX('Sign-ups'!$AG$2:$AG$301,MATCH(206,'Sign-ups'!$AO$2:$AO$301,0)),"")</f>
        <v/>
      </c>
      <c r="E211" s="27">
        <f>IFERROR(INDEX('Sign-ups'!$AH$2:$AH$301,MATCH(206,'Sign-ups'!$AO$2:$AO$301,0)),"")</f>
        <v/>
      </c>
      <c r="F211" s="27">
        <f>IFERROR(INDEX('Sign-ups'!$AI$2:$AI$301,MATCH(206,'Sign-ups'!$AO$2:$AO$301,0)),"")</f>
        <v/>
      </c>
      <c r="G211" s="27">
        <f>IFERROR(INDEX('Sign-ups'!$AK$2:$AK$301,MATCH(206,'Sign-ups'!$AO$2:$AO$301,0)),"")</f>
        <v/>
      </c>
      <c r="H211" s="26">
        <f>IFERROR(INDEX('Sign-ups'!$AJ$2:$AJ$301,MATCH(206,'Sign-ups'!$AO$2:$AO$301,0)),"")</f>
        <v/>
      </c>
      <c r="I211" s="26">
        <f>IFERROR(INDEX('Sign-ups'!$AN$2:$AN$301,MATCH(206,'Sign-ups'!$AO$2:$AO$301,0)),"")</f>
        <v/>
      </c>
      <c r="J211" s="26">
        <f>IFERROR(INDEX('Sign-ups'!$AA$2:$AA$301,MATCH(206,'Sign-ups'!$AO$2:$AO$301,0))&amp;"","")</f>
        <v/>
      </c>
      <c r="K211" s="27">
        <f>IFERROR(INDEX('Sign-ups'!$AB$2:$AB$301,MATCH(206,'Sign-ups'!$AO$2:$AO$301,0))&amp;"","")</f>
        <v/>
      </c>
    </row>
    <row r="212">
      <c r="A212" s="26">
        <f>IF(ISNUMBER(MATCH(207,'Sign-ups'!$AO$2:$AO$301,0)),207,"")</f>
        <v/>
      </c>
      <c r="B212" s="27">
        <f>IFERROR(INDEX('Sign-ups'!$AE$2:$AE$301,MATCH(207,'Sign-ups'!$AO$2:$AO$301,0)),"")</f>
        <v/>
      </c>
      <c r="C212" s="27">
        <f>IFERROR(INDEX('Sign-ups'!$AF$2:$AF$301,MATCH(207,'Sign-ups'!$AO$2:$AO$301,0)),"")</f>
        <v/>
      </c>
      <c r="D212" s="27">
        <f>IFERROR(INDEX('Sign-ups'!$AG$2:$AG$301,MATCH(207,'Sign-ups'!$AO$2:$AO$301,0)),"")</f>
        <v/>
      </c>
      <c r="E212" s="27">
        <f>IFERROR(INDEX('Sign-ups'!$AH$2:$AH$301,MATCH(207,'Sign-ups'!$AO$2:$AO$301,0)),"")</f>
        <v/>
      </c>
      <c r="F212" s="27">
        <f>IFERROR(INDEX('Sign-ups'!$AI$2:$AI$301,MATCH(207,'Sign-ups'!$AO$2:$AO$301,0)),"")</f>
        <v/>
      </c>
      <c r="G212" s="27">
        <f>IFERROR(INDEX('Sign-ups'!$AK$2:$AK$301,MATCH(207,'Sign-ups'!$AO$2:$AO$301,0)),"")</f>
        <v/>
      </c>
      <c r="H212" s="26">
        <f>IFERROR(INDEX('Sign-ups'!$AJ$2:$AJ$301,MATCH(207,'Sign-ups'!$AO$2:$AO$301,0)),"")</f>
        <v/>
      </c>
      <c r="I212" s="26">
        <f>IFERROR(INDEX('Sign-ups'!$AN$2:$AN$301,MATCH(207,'Sign-ups'!$AO$2:$AO$301,0)),"")</f>
        <v/>
      </c>
      <c r="J212" s="26">
        <f>IFERROR(INDEX('Sign-ups'!$AA$2:$AA$301,MATCH(207,'Sign-ups'!$AO$2:$AO$301,0))&amp;"","")</f>
        <v/>
      </c>
      <c r="K212" s="27">
        <f>IFERROR(INDEX('Sign-ups'!$AB$2:$AB$301,MATCH(207,'Sign-ups'!$AO$2:$AO$301,0))&amp;"","")</f>
        <v/>
      </c>
    </row>
    <row r="213">
      <c r="A213" s="26">
        <f>IF(ISNUMBER(MATCH(208,'Sign-ups'!$AO$2:$AO$301,0)),208,"")</f>
        <v/>
      </c>
      <c r="B213" s="27">
        <f>IFERROR(INDEX('Sign-ups'!$AE$2:$AE$301,MATCH(208,'Sign-ups'!$AO$2:$AO$301,0)),"")</f>
        <v/>
      </c>
      <c r="C213" s="27">
        <f>IFERROR(INDEX('Sign-ups'!$AF$2:$AF$301,MATCH(208,'Sign-ups'!$AO$2:$AO$301,0)),"")</f>
        <v/>
      </c>
      <c r="D213" s="27">
        <f>IFERROR(INDEX('Sign-ups'!$AG$2:$AG$301,MATCH(208,'Sign-ups'!$AO$2:$AO$301,0)),"")</f>
        <v/>
      </c>
      <c r="E213" s="27">
        <f>IFERROR(INDEX('Sign-ups'!$AH$2:$AH$301,MATCH(208,'Sign-ups'!$AO$2:$AO$301,0)),"")</f>
        <v/>
      </c>
      <c r="F213" s="27">
        <f>IFERROR(INDEX('Sign-ups'!$AI$2:$AI$301,MATCH(208,'Sign-ups'!$AO$2:$AO$301,0)),"")</f>
        <v/>
      </c>
      <c r="G213" s="27">
        <f>IFERROR(INDEX('Sign-ups'!$AK$2:$AK$301,MATCH(208,'Sign-ups'!$AO$2:$AO$301,0)),"")</f>
        <v/>
      </c>
      <c r="H213" s="26">
        <f>IFERROR(INDEX('Sign-ups'!$AJ$2:$AJ$301,MATCH(208,'Sign-ups'!$AO$2:$AO$301,0)),"")</f>
        <v/>
      </c>
      <c r="I213" s="26">
        <f>IFERROR(INDEX('Sign-ups'!$AN$2:$AN$301,MATCH(208,'Sign-ups'!$AO$2:$AO$301,0)),"")</f>
        <v/>
      </c>
      <c r="J213" s="26">
        <f>IFERROR(INDEX('Sign-ups'!$AA$2:$AA$301,MATCH(208,'Sign-ups'!$AO$2:$AO$301,0))&amp;"","")</f>
        <v/>
      </c>
      <c r="K213" s="27">
        <f>IFERROR(INDEX('Sign-ups'!$AB$2:$AB$301,MATCH(208,'Sign-ups'!$AO$2:$AO$301,0))&amp;"","")</f>
        <v/>
      </c>
    </row>
    <row r="214">
      <c r="A214" s="26">
        <f>IF(ISNUMBER(MATCH(209,'Sign-ups'!$AO$2:$AO$301,0)),209,"")</f>
        <v/>
      </c>
      <c r="B214" s="27">
        <f>IFERROR(INDEX('Sign-ups'!$AE$2:$AE$301,MATCH(209,'Sign-ups'!$AO$2:$AO$301,0)),"")</f>
        <v/>
      </c>
      <c r="C214" s="27">
        <f>IFERROR(INDEX('Sign-ups'!$AF$2:$AF$301,MATCH(209,'Sign-ups'!$AO$2:$AO$301,0)),"")</f>
        <v/>
      </c>
      <c r="D214" s="27">
        <f>IFERROR(INDEX('Sign-ups'!$AG$2:$AG$301,MATCH(209,'Sign-ups'!$AO$2:$AO$301,0)),"")</f>
        <v/>
      </c>
      <c r="E214" s="27">
        <f>IFERROR(INDEX('Sign-ups'!$AH$2:$AH$301,MATCH(209,'Sign-ups'!$AO$2:$AO$301,0)),"")</f>
        <v/>
      </c>
      <c r="F214" s="27">
        <f>IFERROR(INDEX('Sign-ups'!$AI$2:$AI$301,MATCH(209,'Sign-ups'!$AO$2:$AO$301,0)),"")</f>
        <v/>
      </c>
      <c r="G214" s="27">
        <f>IFERROR(INDEX('Sign-ups'!$AK$2:$AK$301,MATCH(209,'Sign-ups'!$AO$2:$AO$301,0)),"")</f>
        <v/>
      </c>
      <c r="H214" s="26">
        <f>IFERROR(INDEX('Sign-ups'!$AJ$2:$AJ$301,MATCH(209,'Sign-ups'!$AO$2:$AO$301,0)),"")</f>
        <v/>
      </c>
      <c r="I214" s="26">
        <f>IFERROR(INDEX('Sign-ups'!$AN$2:$AN$301,MATCH(209,'Sign-ups'!$AO$2:$AO$301,0)),"")</f>
        <v/>
      </c>
      <c r="J214" s="26">
        <f>IFERROR(INDEX('Sign-ups'!$AA$2:$AA$301,MATCH(209,'Sign-ups'!$AO$2:$AO$301,0))&amp;"","")</f>
        <v/>
      </c>
      <c r="K214" s="27">
        <f>IFERROR(INDEX('Sign-ups'!$AB$2:$AB$301,MATCH(209,'Sign-ups'!$AO$2:$AO$301,0))&amp;"","")</f>
        <v/>
      </c>
    </row>
    <row r="215">
      <c r="A215" s="26">
        <f>IF(ISNUMBER(MATCH(210,'Sign-ups'!$AO$2:$AO$301,0)),210,"")</f>
        <v/>
      </c>
      <c r="B215" s="27">
        <f>IFERROR(INDEX('Sign-ups'!$AE$2:$AE$301,MATCH(210,'Sign-ups'!$AO$2:$AO$301,0)),"")</f>
        <v/>
      </c>
      <c r="C215" s="27">
        <f>IFERROR(INDEX('Sign-ups'!$AF$2:$AF$301,MATCH(210,'Sign-ups'!$AO$2:$AO$301,0)),"")</f>
        <v/>
      </c>
      <c r="D215" s="27">
        <f>IFERROR(INDEX('Sign-ups'!$AG$2:$AG$301,MATCH(210,'Sign-ups'!$AO$2:$AO$301,0)),"")</f>
        <v/>
      </c>
      <c r="E215" s="27">
        <f>IFERROR(INDEX('Sign-ups'!$AH$2:$AH$301,MATCH(210,'Sign-ups'!$AO$2:$AO$301,0)),"")</f>
        <v/>
      </c>
      <c r="F215" s="27">
        <f>IFERROR(INDEX('Sign-ups'!$AI$2:$AI$301,MATCH(210,'Sign-ups'!$AO$2:$AO$301,0)),"")</f>
        <v/>
      </c>
      <c r="G215" s="27">
        <f>IFERROR(INDEX('Sign-ups'!$AK$2:$AK$301,MATCH(210,'Sign-ups'!$AO$2:$AO$301,0)),"")</f>
        <v/>
      </c>
      <c r="H215" s="26">
        <f>IFERROR(INDEX('Sign-ups'!$AJ$2:$AJ$301,MATCH(210,'Sign-ups'!$AO$2:$AO$301,0)),"")</f>
        <v/>
      </c>
      <c r="I215" s="26">
        <f>IFERROR(INDEX('Sign-ups'!$AN$2:$AN$301,MATCH(210,'Sign-ups'!$AO$2:$AO$301,0)),"")</f>
        <v/>
      </c>
      <c r="J215" s="26">
        <f>IFERROR(INDEX('Sign-ups'!$AA$2:$AA$301,MATCH(210,'Sign-ups'!$AO$2:$AO$301,0))&amp;"","")</f>
        <v/>
      </c>
      <c r="K215" s="27">
        <f>IFERROR(INDEX('Sign-ups'!$AB$2:$AB$301,MATCH(210,'Sign-ups'!$AO$2:$AO$301,0))&amp;"","")</f>
        <v/>
      </c>
    </row>
    <row r="216">
      <c r="A216" s="26">
        <f>IF(ISNUMBER(MATCH(211,'Sign-ups'!$AO$2:$AO$301,0)),211,"")</f>
        <v/>
      </c>
      <c r="B216" s="27">
        <f>IFERROR(INDEX('Sign-ups'!$AE$2:$AE$301,MATCH(211,'Sign-ups'!$AO$2:$AO$301,0)),"")</f>
        <v/>
      </c>
      <c r="C216" s="27">
        <f>IFERROR(INDEX('Sign-ups'!$AF$2:$AF$301,MATCH(211,'Sign-ups'!$AO$2:$AO$301,0)),"")</f>
        <v/>
      </c>
      <c r="D216" s="27">
        <f>IFERROR(INDEX('Sign-ups'!$AG$2:$AG$301,MATCH(211,'Sign-ups'!$AO$2:$AO$301,0)),"")</f>
        <v/>
      </c>
      <c r="E216" s="27">
        <f>IFERROR(INDEX('Sign-ups'!$AH$2:$AH$301,MATCH(211,'Sign-ups'!$AO$2:$AO$301,0)),"")</f>
        <v/>
      </c>
      <c r="F216" s="27">
        <f>IFERROR(INDEX('Sign-ups'!$AI$2:$AI$301,MATCH(211,'Sign-ups'!$AO$2:$AO$301,0)),"")</f>
        <v/>
      </c>
      <c r="G216" s="27">
        <f>IFERROR(INDEX('Sign-ups'!$AK$2:$AK$301,MATCH(211,'Sign-ups'!$AO$2:$AO$301,0)),"")</f>
        <v/>
      </c>
      <c r="H216" s="26">
        <f>IFERROR(INDEX('Sign-ups'!$AJ$2:$AJ$301,MATCH(211,'Sign-ups'!$AO$2:$AO$301,0)),"")</f>
        <v/>
      </c>
      <c r="I216" s="26">
        <f>IFERROR(INDEX('Sign-ups'!$AN$2:$AN$301,MATCH(211,'Sign-ups'!$AO$2:$AO$301,0)),"")</f>
        <v/>
      </c>
      <c r="J216" s="26">
        <f>IFERROR(INDEX('Sign-ups'!$AA$2:$AA$301,MATCH(211,'Sign-ups'!$AO$2:$AO$301,0))&amp;"","")</f>
        <v/>
      </c>
      <c r="K216" s="27">
        <f>IFERROR(INDEX('Sign-ups'!$AB$2:$AB$301,MATCH(211,'Sign-ups'!$AO$2:$AO$301,0))&amp;"","")</f>
        <v/>
      </c>
    </row>
    <row r="217">
      <c r="A217" s="26">
        <f>IF(ISNUMBER(MATCH(212,'Sign-ups'!$AO$2:$AO$301,0)),212,"")</f>
        <v/>
      </c>
      <c r="B217" s="27">
        <f>IFERROR(INDEX('Sign-ups'!$AE$2:$AE$301,MATCH(212,'Sign-ups'!$AO$2:$AO$301,0)),"")</f>
        <v/>
      </c>
      <c r="C217" s="27">
        <f>IFERROR(INDEX('Sign-ups'!$AF$2:$AF$301,MATCH(212,'Sign-ups'!$AO$2:$AO$301,0)),"")</f>
        <v/>
      </c>
      <c r="D217" s="27">
        <f>IFERROR(INDEX('Sign-ups'!$AG$2:$AG$301,MATCH(212,'Sign-ups'!$AO$2:$AO$301,0)),"")</f>
        <v/>
      </c>
      <c r="E217" s="27">
        <f>IFERROR(INDEX('Sign-ups'!$AH$2:$AH$301,MATCH(212,'Sign-ups'!$AO$2:$AO$301,0)),"")</f>
        <v/>
      </c>
      <c r="F217" s="27">
        <f>IFERROR(INDEX('Sign-ups'!$AI$2:$AI$301,MATCH(212,'Sign-ups'!$AO$2:$AO$301,0)),"")</f>
        <v/>
      </c>
      <c r="G217" s="27">
        <f>IFERROR(INDEX('Sign-ups'!$AK$2:$AK$301,MATCH(212,'Sign-ups'!$AO$2:$AO$301,0)),"")</f>
        <v/>
      </c>
      <c r="H217" s="26">
        <f>IFERROR(INDEX('Sign-ups'!$AJ$2:$AJ$301,MATCH(212,'Sign-ups'!$AO$2:$AO$301,0)),"")</f>
        <v/>
      </c>
      <c r="I217" s="26">
        <f>IFERROR(INDEX('Sign-ups'!$AN$2:$AN$301,MATCH(212,'Sign-ups'!$AO$2:$AO$301,0)),"")</f>
        <v/>
      </c>
      <c r="J217" s="26">
        <f>IFERROR(INDEX('Sign-ups'!$AA$2:$AA$301,MATCH(212,'Sign-ups'!$AO$2:$AO$301,0))&amp;"","")</f>
        <v/>
      </c>
      <c r="K217" s="27">
        <f>IFERROR(INDEX('Sign-ups'!$AB$2:$AB$301,MATCH(212,'Sign-ups'!$AO$2:$AO$301,0))&amp;"","")</f>
        <v/>
      </c>
    </row>
    <row r="218">
      <c r="A218" s="26">
        <f>IF(ISNUMBER(MATCH(213,'Sign-ups'!$AO$2:$AO$301,0)),213,"")</f>
        <v/>
      </c>
      <c r="B218" s="27">
        <f>IFERROR(INDEX('Sign-ups'!$AE$2:$AE$301,MATCH(213,'Sign-ups'!$AO$2:$AO$301,0)),"")</f>
        <v/>
      </c>
      <c r="C218" s="27">
        <f>IFERROR(INDEX('Sign-ups'!$AF$2:$AF$301,MATCH(213,'Sign-ups'!$AO$2:$AO$301,0)),"")</f>
        <v/>
      </c>
      <c r="D218" s="27">
        <f>IFERROR(INDEX('Sign-ups'!$AG$2:$AG$301,MATCH(213,'Sign-ups'!$AO$2:$AO$301,0)),"")</f>
        <v/>
      </c>
      <c r="E218" s="27">
        <f>IFERROR(INDEX('Sign-ups'!$AH$2:$AH$301,MATCH(213,'Sign-ups'!$AO$2:$AO$301,0)),"")</f>
        <v/>
      </c>
      <c r="F218" s="27">
        <f>IFERROR(INDEX('Sign-ups'!$AI$2:$AI$301,MATCH(213,'Sign-ups'!$AO$2:$AO$301,0)),"")</f>
        <v/>
      </c>
      <c r="G218" s="27">
        <f>IFERROR(INDEX('Sign-ups'!$AK$2:$AK$301,MATCH(213,'Sign-ups'!$AO$2:$AO$301,0)),"")</f>
        <v/>
      </c>
      <c r="H218" s="26">
        <f>IFERROR(INDEX('Sign-ups'!$AJ$2:$AJ$301,MATCH(213,'Sign-ups'!$AO$2:$AO$301,0)),"")</f>
        <v/>
      </c>
      <c r="I218" s="26">
        <f>IFERROR(INDEX('Sign-ups'!$AN$2:$AN$301,MATCH(213,'Sign-ups'!$AO$2:$AO$301,0)),"")</f>
        <v/>
      </c>
      <c r="J218" s="26">
        <f>IFERROR(INDEX('Sign-ups'!$AA$2:$AA$301,MATCH(213,'Sign-ups'!$AO$2:$AO$301,0))&amp;"","")</f>
        <v/>
      </c>
      <c r="K218" s="27">
        <f>IFERROR(INDEX('Sign-ups'!$AB$2:$AB$301,MATCH(213,'Sign-ups'!$AO$2:$AO$301,0))&amp;"","")</f>
        <v/>
      </c>
    </row>
    <row r="219">
      <c r="A219" s="26">
        <f>IF(ISNUMBER(MATCH(214,'Sign-ups'!$AO$2:$AO$301,0)),214,"")</f>
        <v/>
      </c>
      <c r="B219" s="27">
        <f>IFERROR(INDEX('Sign-ups'!$AE$2:$AE$301,MATCH(214,'Sign-ups'!$AO$2:$AO$301,0)),"")</f>
        <v/>
      </c>
      <c r="C219" s="27">
        <f>IFERROR(INDEX('Sign-ups'!$AF$2:$AF$301,MATCH(214,'Sign-ups'!$AO$2:$AO$301,0)),"")</f>
        <v/>
      </c>
      <c r="D219" s="27">
        <f>IFERROR(INDEX('Sign-ups'!$AG$2:$AG$301,MATCH(214,'Sign-ups'!$AO$2:$AO$301,0)),"")</f>
        <v/>
      </c>
      <c r="E219" s="27">
        <f>IFERROR(INDEX('Sign-ups'!$AH$2:$AH$301,MATCH(214,'Sign-ups'!$AO$2:$AO$301,0)),"")</f>
        <v/>
      </c>
      <c r="F219" s="27">
        <f>IFERROR(INDEX('Sign-ups'!$AI$2:$AI$301,MATCH(214,'Sign-ups'!$AO$2:$AO$301,0)),"")</f>
        <v/>
      </c>
      <c r="G219" s="27">
        <f>IFERROR(INDEX('Sign-ups'!$AK$2:$AK$301,MATCH(214,'Sign-ups'!$AO$2:$AO$301,0)),"")</f>
        <v/>
      </c>
      <c r="H219" s="26">
        <f>IFERROR(INDEX('Sign-ups'!$AJ$2:$AJ$301,MATCH(214,'Sign-ups'!$AO$2:$AO$301,0)),"")</f>
        <v/>
      </c>
      <c r="I219" s="26">
        <f>IFERROR(INDEX('Sign-ups'!$AN$2:$AN$301,MATCH(214,'Sign-ups'!$AO$2:$AO$301,0)),"")</f>
        <v/>
      </c>
      <c r="J219" s="26">
        <f>IFERROR(INDEX('Sign-ups'!$AA$2:$AA$301,MATCH(214,'Sign-ups'!$AO$2:$AO$301,0))&amp;"","")</f>
        <v/>
      </c>
      <c r="K219" s="27">
        <f>IFERROR(INDEX('Sign-ups'!$AB$2:$AB$301,MATCH(214,'Sign-ups'!$AO$2:$AO$301,0))&amp;"","")</f>
        <v/>
      </c>
    </row>
    <row r="220">
      <c r="A220" s="26">
        <f>IF(ISNUMBER(MATCH(215,'Sign-ups'!$AO$2:$AO$301,0)),215,"")</f>
        <v/>
      </c>
      <c r="B220" s="27">
        <f>IFERROR(INDEX('Sign-ups'!$AE$2:$AE$301,MATCH(215,'Sign-ups'!$AO$2:$AO$301,0)),"")</f>
        <v/>
      </c>
      <c r="C220" s="27">
        <f>IFERROR(INDEX('Sign-ups'!$AF$2:$AF$301,MATCH(215,'Sign-ups'!$AO$2:$AO$301,0)),"")</f>
        <v/>
      </c>
      <c r="D220" s="27">
        <f>IFERROR(INDEX('Sign-ups'!$AG$2:$AG$301,MATCH(215,'Sign-ups'!$AO$2:$AO$301,0)),"")</f>
        <v/>
      </c>
      <c r="E220" s="27">
        <f>IFERROR(INDEX('Sign-ups'!$AH$2:$AH$301,MATCH(215,'Sign-ups'!$AO$2:$AO$301,0)),"")</f>
        <v/>
      </c>
      <c r="F220" s="27">
        <f>IFERROR(INDEX('Sign-ups'!$AI$2:$AI$301,MATCH(215,'Sign-ups'!$AO$2:$AO$301,0)),"")</f>
        <v/>
      </c>
      <c r="G220" s="27">
        <f>IFERROR(INDEX('Sign-ups'!$AK$2:$AK$301,MATCH(215,'Sign-ups'!$AO$2:$AO$301,0)),"")</f>
        <v/>
      </c>
      <c r="H220" s="26">
        <f>IFERROR(INDEX('Sign-ups'!$AJ$2:$AJ$301,MATCH(215,'Sign-ups'!$AO$2:$AO$301,0)),"")</f>
        <v/>
      </c>
      <c r="I220" s="26">
        <f>IFERROR(INDEX('Sign-ups'!$AN$2:$AN$301,MATCH(215,'Sign-ups'!$AO$2:$AO$301,0)),"")</f>
        <v/>
      </c>
      <c r="J220" s="26">
        <f>IFERROR(INDEX('Sign-ups'!$AA$2:$AA$301,MATCH(215,'Sign-ups'!$AO$2:$AO$301,0))&amp;"","")</f>
        <v/>
      </c>
      <c r="K220" s="27">
        <f>IFERROR(INDEX('Sign-ups'!$AB$2:$AB$301,MATCH(215,'Sign-ups'!$AO$2:$AO$301,0))&amp;"","")</f>
        <v/>
      </c>
    </row>
    <row r="221">
      <c r="A221" s="26">
        <f>IF(ISNUMBER(MATCH(216,'Sign-ups'!$AO$2:$AO$301,0)),216,"")</f>
        <v/>
      </c>
      <c r="B221" s="27">
        <f>IFERROR(INDEX('Sign-ups'!$AE$2:$AE$301,MATCH(216,'Sign-ups'!$AO$2:$AO$301,0)),"")</f>
        <v/>
      </c>
      <c r="C221" s="27">
        <f>IFERROR(INDEX('Sign-ups'!$AF$2:$AF$301,MATCH(216,'Sign-ups'!$AO$2:$AO$301,0)),"")</f>
        <v/>
      </c>
      <c r="D221" s="27">
        <f>IFERROR(INDEX('Sign-ups'!$AG$2:$AG$301,MATCH(216,'Sign-ups'!$AO$2:$AO$301,0)),"")</f>
        <v/>
      </c>
      <c r="E221" s="27">
        <f>IFERROR(INDEX('Sign-ups'!$AH$2:$AH$301,MATCH(216,'Sign-ups'!$AO$2:$AO$301,0)),"")</f>
        <v/>
      </c>
      <c r="F221" s="27">
        <f>IFERROR(INDEX('Sign-ups'!$AI$2:$AI$301,MATCH(216,'Sign-ups'!$AO$2:$AO$301,0)),"")</f>
        <v/>
      </c>
      <c r="G221" s="27">
        <f>IFERROR(INDEX('Sign-ups'!$AK$2:$AK$301,MATCH(216,'Sign-ups'!$AO$2:$AO$301,0)),"")</f>
        <v/>
      </c>
      <c r="H221" s="26">
        <f>IFERROR(INDEX('Sign-ups'!$AJ$2:$AJ$301,MATCH(216,'Sign-ups'!$AO$2:$AO$301,0)),"")</f>
        <v/>
      </c>
      <c r="I221" s="26">
        <f>IFERROR(INDEX('Sign-ups'!$AN$2:$AN$301,MATCH(216,'Sign-ups'!$AO$2:$AO$301,0)),"")</f>
        <v/>
      </c>
      <c r="J221" s="26">
        <f>IFERROR(INDEX('Sign-ups'!$AA$2:$AA$301,MATCH(216,'Sign-ups'!$AO$2:$AO$301,0))&amp;"","")</f>
        <v/>
      </c>
      <c r="K221" s="27">
        <f>IFERROR(INDEX('Sign-ups'!$AB$2:$AB$301,MATCH(216,'Sign-ups'!$AO$2:$AO$301,0))&amp;"","")</f>
        <v/>
      </c>
    </row>
    <row r="222">
      <c r="A222" s="26">
        <f>IF(ISNUMBER(MATCH(217,'Sign-ups'!$AO$2:$AO$301,0)),217,"")</f>
        <v/>
      </c>
      <c r="B222" s="27">
        <f>IFERROR(INDEX('Sign-ups'!$AE$2:$AE$301,MATCH(217,'Sign-ups'!$AO$2:$AO$301,0)),"")</f>
        <v/>
      </c>
      <c r="C222" s="27">
        <f>IFERROR(INDEX('Sign-ups'!$AF$2:$AF$301,MATCH(217,'Sign-ups'!$AO$2:$AO$301,0)),"")</f>
        <v/>
      </c>
      <c r="D222" s="27">
        <f>IFERROR(INDEX('Sign-ups'!$AG$2:$AG$301,MATCH(217,'Sign-ups'!$AO$2:$AO$301,0)),"")</f>
        <v/>
      </c>
      <c r="E222" s="27">
        <f>IFERROR(INDEX('Sign-ups'!$AH$2:$AH$301,MATCH(217,'Sign-ups'!$AO$2:$AO$301,0)),"")</f>
        <v/>
      </c>
      <c r="F222" s="27">
        <f>IFERROR(INDEX('Sign-ups'!$AI$2:$AI$301,MATCH(217,'Sign-ups'!$AO$2:$AO$301,0)),"")</f>
        <v/>
      </c>
      <c r="G222" s="27">
        <f>IFERROR(INDEX('Sign-ups'!$AK$2:$AK$301,MATCH(217,'Sign-ups'!$AO$2:$AO$301,0)),"")</f>
        <v/>
      </c>
      <c r="H222" s="26">
        <f>IFERROR(INDEX('Sign-ups'!$AJ$2:$AJ$301,MATCH(217,'Sign-ups'!$AO$2:$AO$301,0)),"")</f>
        <v/>
      </c>
      <c r="I222" s="26">
        <f>IFERROR(INDEX('Sign-ups'!$AN$2:$AN$301,MATCH(217,'Sign-ups'!$AO$2:$AO$301,0)),"")</f>
        <v/>
      </c>
      <c r="J222" s="26">
        <f>IFERROR(INDEX('Sign-ups'!$AA$2:$AA$301,MATCH(217,'Sign-ups'!$AO$2:$AO$301,0))&amp;"","")</f>
        <v/>
      </c>
      <c r="K222" s="27">
        <f>IFERROR(INDEX('Sign-ups'!$AB$2:$AB$301,MATCH(217,'Sign-ups'!$AO$2:$AO$301,0))&amp;"","")</f>
        <v/>
      </c>
    </row>
    <row r="223">
      <c r="A223" s="26">
        <f>IF(ISNUMBER(MATCH(218,'Sign-ups'!$AO$2:$AO$301,0)),218,"")</f>
        <v/>
      </c>
      <c r="B223" s="27">
        <f>IFERROR(INDEX('Sign-ups'!$AE$2:$AE$301,MATCH(218,'Sign-ups'!$AO$2:$AO$301,0)),"")</f>
        <v/>
      </c>
      <c r="C223" s="27">
        <f>IFERROR(INDEX('Sign-ups'!$AF$2:$AF$301,MATCH(218,'Sign-ups'!$AO$2:$AO$301,0)),"")</f>
        <v/>
      </c>
      <c r="D223" s="27">
        <f>IFERROR(INDEX('Sign-ups'!$AG$2:$AG$301,MATCH(218,'Sign-ups'!$AO$2:$AO$301,0)),"")</f>
        <v/>
      </c>
      <c r="E223" s="27">
        <f>IFERROR(INDEX('Sign-ups'!$AH$2:$AH$301,MATCH(218,'Sign-ups'!$AO$2:$AO$301,0)),"")</f>
        <v/>
      </c>
      <c r="F223" s="27">
        <f>IFERROR(INDEX('Sign-ups'!$AI$2:$AI$301,MATCH(218,'Sign-ups'!$AO$2:$AO$301,0)),"")</f>
        <v/>
      </c>
      <c r="G223" s="27">
        <f>IFERROR(INDEX('Sign-ups'!$AK$2:$AK$301,MATCH(218,'Sign-ups'!$AO$2:$AO$301,0)),"")</f>
        <v/>
      </c>
      <c r="H223" s="26">
        <f>IFERROR(INDEX('Sign-ups'!$AJ$2:$AJ$301,MATCH(218,'Sign-ups'!$AO$2:$AO$301,0)),"")</f>
        <v/>
      </c>
      <c r="I223" s="26">
        <f>IFERROR(INDEX('Sign-ups'!$AN$2:$AN$301,MATCH(218,'Sign-ups'!$AO$2:$AO$301,0)),"")</f>
        <v/>
      </c>
      <c r="J223" s="26">
        <f>IFERROR(INDEX('Sign-ups'!$AA$2:$AA$301,MATCH(218,'Sign-ups'!$AO$2:$AO$301,0))&amp;"","")</f>
        <v/>
      </c>
      <c r="K223" s="27">
        <f>IFERROR(INDEX('Sign-ups'!$AB$2:$AB$301,MATCH(218,'Sign-ups'!$AO$2:$AO$301,0))&amp;"","")</f>
        <v/>
      </c>
    </row>
    <row r="224">
      <c r="A224" s="26">
        <f>IF(ISNUMBER(MATCH(219,'Sign-ups'!$AO$2:$AO$301,0)),219,"")</f>
        <v/>
      </c>
      <c r="B224" s="27">
        <f>IFERROR(INDEX('Sign-ups'!$AE$2:$AE$301,MATCH(219,'Sign-ups'!$AO$2:$AO$301,0)),"")</f>
        <v/>
      </c>
      <c r="C224" s="27">
        <f>IFERROR(INDEX('Sign-ups'!$AF$2:$AF$301,MATCH(219,'Sign-ups'!$AO$2:$AO$301,0)),"")</f>
        <v/>
      </c>
      <c r="D224" s="27">
        <f>IFERROR(INDEX('Sign-ups'!$AG$2:$AG$301,MATCH(219,'Sign-ups'!$AO$2:$AO$301,0)),"")</f>
        <v/>
      </c>
      <c r="E224" s="27">
        <f>IFERROR(INDEX('Sign-ups'!$AH$2:$AH$301,MATCH(219,'Sign-ups'!$AO$2:$AO$301,0)),"")</f>
        <v/>
      </c>
      <c r="F224" s="27">
        <f>IFERROR(INDEX('Sign-ups'!$AI$2:$AI$301,MATCH(219,'Sign-ups'!$AO$2:$AO$301,0)),"")</f>
        <v/>
      </c>
      <c r="G224" s="27">
        <f>IFERROR(INDEX('Sign-ups'!$AK$2:$AK$301,MATCH(219,'Sign-ups'!$AO$2:$AO$301,0)),"")</f>
        <v/>
      </c>
      <c r="H224" s="26">
        <f>IFERROR(INDEX('Sign-ups'!$AJ$2:$AJ$301,MATCH(219,'Sign-ups'!$AO$2:$AO$301,0)),"")</f>
        <v/>
      </c>
      <c r="I224" s="26">
        <f>IFERROR(INDEX('Sign-ups'!$AN$2:$AN$301,MATCH(219,'Sign-ups'!$AO$2:$AO$301,0)),"")</f>
        <v/>
      </c>
      <c r="J224" s="26">
        <f>IFERROR(INDEX('Sign-ups'!$AA$2:$AA$301,MATCH(219,'Sign-ups'!$AO$2:$AO$301,0))&amp;"","")</f>
        <v/>
      </c>
      <c r="K224" s="27">
        <f>IFERROR(INDEX('Sign-ups'!$AB$2:$AB$301,MATCH(219,'Sign-ups'!$AO$2:$AO$301,0))&amp;"","")</f>
        <v/>
      </c>
    </row>
    <row r="225">
      <c r="A225" s="26">
        <f>IF(ISNUMBER(MATCH(220,'Sign-ups'!$AO$2:$AO$301,0)),220,"")</f>
        <v/>
      </c>
      <c r="B225" s="27">
        <f>IFERROR(INDEX('Sign-ups'!$AE$2:$AE$301,MATCH(220,'Sign-ups'!$AO$2:$AO$301,0)),"")</f>
        <v/>
      </c>
      <c r="C225" s="27">
        <f>IFERROR(INDEX('Sign-ups'!$AF$2:$AF$301,MATCH(220,'Sign-ups'!$AO$2:$AO$301,0)),"")</f>
        <v/>
      </c>
      <c r="D225" s="27">
        <f>IFERROR(INDEX('Sign-ups'!$AG$2:$AG$301,MATCH(220,'Sign-ups'!$AO$2:$AO$301,0)),"")</f>
        <v/>
      </c>
      <c r="E225" s="27">
        <f>IFERROR(INDEX('Sign-ups'!$AH$2:$AH$301,MATCH(220,'Sign-ups'!$AO$2:$AO$301,0)),"")</f>
        <v/>
      </c>
      <c r="F225" s="27">
        <f>IFERROR(INDEX('Sign-ups'!$AI$2:$AI$301,MATCH(220,'Sign-ups'!$AO$2:$AO$301,0)),"")</f>
        <v/>
      </c>
      <c r="G225" s="27">
        <f>IFERROR(INDEX('Sign-ups'!$AK$2:$AK$301,MATCH(220,'Sign-ups'!$AO$2:$AO$301,0)),"")</f>
        <v/>
      </c>
      <c r="H225" s="26">
        <f>IFERROR(INDEX('Sign-ups'!$AJ$2:$AJ$301,MATCH(220,'Sign-ups'!$AO$2:$AO$301,0)),"")</f>
        <v/>
      </c>
      <c r="I225" s="26">
        <f>IFERROR(INDEX('Sign-ups'!$AN$2:$AN$301,MATCH(220,'Sign-ups'!$AO$2:$AO$301,0)),"")</f>
        <v/>
      </c>
      <c r="J225" s="26">
        <f>IFERROR(INDEX('Sign-ups'!$AA$2:$AA$301,MATCH(220,'Sign-ups'!$AO$2:$AO$301,0))&amp;"","")</f>
        <v/>
      </c>
      <c r="K225" s="27">
        <f>IFERROR(INDEX('Sign-ups'!$AB$2:$AB$301,MATCH(220,'Sign-ups'!$AO$2:$AO$301,0))&amp;"","")</f>
        <v/>
      </c>
    </row>
    <row r="226">
      <c r="A226" s="26">
        <f>IF(ISNUMBER(MATCH(221,'Sign-ups'!$AO$2:$AO$301,0)),221,"")</f>
        <v/>
      </c>
      <c r="B226" s="27">
        <f>IFERROR(INDEX('Sign-ups'!$AE$2:$AE$301,MATCH(221,'Sign-ups'!$AO$2:$AO$301,0)),"")</f>
        <v/>
      </c>
      <c r="C226" s="27">
        <f>IFERROR(INDEX('Sign-ups'!$AF$2:$AF$301,MATCH(221,'Sign-ups'!$AO$2:$AO$301,0)),"")</f>
        <v/>
      </c>
      <c r="D226" s="27">
        <f>IFERROR(INDEX('Sign-ups'!$AG$2:$AG$301,MATCH(221,'Sign-ups'!$AO$2:$AO$301,0)),"")</f>
        <v/>
      </c>
      <c r="E226" s="27">
        <f>IFERROR(INDEX('Sign-ups'!$AH$2:$AH$301,MATCH(221,'Sign-ups'!$AO$2:$AO$301,0)),"")</f>
        <v/>
      </c>
      <c r="F226" s="27">
        <f>IFERROR(INDEX('Sign-ups'!$AI$2:$AI$301,MATCH(221,'Sign-ups'!$AO$2:$AO$301,0)),"")</f>
        <v/>
      </c>
      <c r="G226" s="27">
        <f>IFERROR(INDEX('Sign-ups'!$AK$2:$AK$301,MATCH(221,'Sign-ups'!$AO$2:$AO$301,0)),"")</f>
        <v/>
      </c>
      <c r="H226" s="26">
        <f>IFERROR(INDEX('Sign-ups'!$AJ$2:$AJ$301,MATCH(221,'Sign-ups'!$AO$2:$AO$301,0)),"")</f>
        <v/>
      </c>
      <c r="I226" s="26">
        <f>IFERROR(INDEX('Sign-ups'!$AN$2:$AN$301,MATCH(221,'Sign-ups'!$AO$2:$AO$301,0)),"")</f>
        <v/>
      </c>
      <c r="J226" s="26">
        <f>IFERROR(INDEX('Sign-ups'!$AA$2:$AA$301,MATCH(221,'Sign-ups'!$AO$2:$AO$301,0))&amp;"","")</f>
        <v/>
      </c>
      <c r="K226" s="27">
        <f>IFERROR(INDEX('Sign-ups'!$AB$2:$AB$301,MATCH(221,'Sign-ups'!$AO$2:$AO$301,0))&amp;"","")</f>
        <v/>
      </c>
    </row>
    <row r="227">
      <c r="A227" s="26">
        <f>IF(ISNUMBER(MATCH(222,'Sign-ups'!$AO$2:$AO$301,0)),222,"")</f>
        <v/>
      </c>
      <c r="B227" s="27">
        <f>IFERROR(INDEX('Sign-ups'!$AE$2:$AE$301,MATCH(222,'Sign-ups'!$AO$2:$AO$301,0)),"")</f>
        <v/>
      </c>
      <c r="C227" s="27">
        <f>IFERROR(INDEX('Sign-ups'!$AF$2:$AF$301,MATCH(222,'Sign-ups'!$AO$2:$AO$301,0)),"")</f>
        <v/>
      </c>
      <c r="D227" s="27">
        <f>IFERROR(INDEX('Sign-ups'!$AG$2:$AG$301,MATCH(222,'Sign-ups'!$AO$2:$AO$301,0)),"")</f>
        <v/>
      </c>
      <c r="E227" s="27">
        <f>IFERROR(INDEX('Sign-ups'!$AH$2:$AH$301,MATCH(222,'Sign-ups'!$AO$2:$AO$301,0)),"")</f>
        <v/>
      </c>
      <c r="F227" s="27">
        <f>IFERROR(INDEX('Sign-ups'!$AI$2:$AI$301,MATCH(222,'Sign-ups'!$AO$2:$AO$301,0)),"")</f>
        <v/>
      </c>
      <c r="G227" s="27">
        <f>IFERROR(INDEX('Sign-ups'!$AK$2:$AK$301,MATCH(222,'Sign-ups'!$AO$2:$AO$301,0)),"")</f>
        <v/>
      </c>
      <c r="H227" s="26">
        <f>IFERROR(INDEX('Sign-ups'!$AJ$2:$AJ$301,MATCH(222,'Sign-ups'!$AO$2:$AO$301,0)),"")</f>
        <v/>
      </c>
      <c r="I227" s="26">
        <f>IFERROR(INDEX('Sign-ups'!$AN$2:$AN$301,MATCH(222,'Sign-ups'!$AO$2:$AO$301,0)),"")</f>
        <v/>
      </c>
      <c r="J227" s="26">
        <f>IFERROR(INDEX('Sign-ups'!$AA$2:$AA$301,MATCH(222,'Sign-ups'!$AO$2:$AO$301,0))&amp;"","")</f>
        <v/>
      </c>
      <c r="K227" s="27">
        <f>IFERROR(INDEX('Sign-ups'!$AB$2:$AB$301,MATCH(222,'Sign-ups'!$AO$2:$AO$301,0))&amp;"","")</f>
        <v/>
      </c>
    </row>
    <row r="228">
      <c r="A228" s="26">
        <f>IF(ISNUMBER(MATCH(223,'Sign-ups'!$AO$2:$AO$301,0)),223,"")</f>
        <v/>
      </c>
      <c r="B228" s="27">
        <f>IFERROR(INDEX('Sign-ups'!$AE$2:$AE$301,MATCH(223,'Sign-ups'!$AO$2:$AO$301,0)),"")</f>
        <v/>
      </c>
      <c r="C228" s="27">
        <f>IFERROR(INDEX('Sign-ups'!$AF$2:$AF$301,MATCH(223,'Sign-ups'!$AO$2:$AO$301,0)),"")</f>
        <v/>
      </c>
      <c r="D228" s="27">
        <f>IFERROR(INDEX('Sign-ups'!$AG$2:$AG$301,MATCH(223,'Sign-ups'!$AO$2:$AO$301,0)),"")</f>
        <v/>
      </c>
      <c r="E228" s="27">
        <f>IFERROR(INDEX('Sign-ups'!$AH$2:$AH$301,MATCH(223,'Sign-ups'!$AO$2:$AO$301,0)),"")</f>
        <v/>
      </c>
      <c r="F228" s="27">
        <f>IFERROR(INDEX('Sign-ups'!$AI$2:$AI$301,MATCH(223,'Sign-ups'!$AO$2:$AO$301,0)),"")</f>
        <v/>
      </c>
      <c r="G228" s="27">
        <f>IFERROR(INDEX('Sign-ups'!$AK$2:$AK$301,MATCH(223,'Sign-ups'!$AO$2:$AO$301,0)),"")</f>
        <v/>
      </c>
      <c r="H228" s="26">
        <f>IFERROR(INDEX('Sign-ups'!$AJ$2:$AJ$301,MATCH(223,'Sign-ups'!$AO$2:$AO$301,0)),"")</f>
        <v/>
      </c>
      <c r="I228" s="26">
        <f>IFERROR(INDEX('Sign-ups'!$AN$2:$AN$301,MATCH(223,'Sign-ups'!$AO$2:$AO$301,0)),"")</f>
        <v/>
      </c>
      <c r="J228" s="26">
        <f>IFERROR(INDEX('Sign-ups'!$AA$2:$AA$301,MATCH(223,'Sign-ups'!$AO$2:$AO$301,0))&amp;"","")</f>
        <v/>
      </c>
      <c r="K228" s="27">
        <f>IFERROR(INDEX('Sign-ups'!$AB$2:$AB$301,MATCH(223,'Sign-ups'!$AO$2:$AO$301,0))&amp;"","")</f>
        <v/>
      </c>
    </row>
    <row r="229">
      <c r="A229" s="26">
        <f>IF(ISNUMBER(MATCH(224,'Sign-ups'!$AO$2:$AO$301,0)),224,"")</f>
        <v/>
      </c>
      <c r="B229" s="27">
        <f>IFERROR(INDEX('Sign-ups'!$AE$2:$AE$301,MATCH(224,'Sign-ups'!$AO$2:$AO$301,0)),"")</f>
        <v/>
      </c>
      <c r="C229" s="27">
        <f>IFERROR(INDEX('Sign-ups'!$AF$2:$AF$301,MATCH(224,'Sign-ups'!$AO$2:$AO$301,0)),"")</f>
        <v/>
      </c>
      <c r="D229" s="27">
        <f>IFERROR(INDEX('Sign-ups'!$AG$2:$AG$301,MATCH(224,'Sign-ups'!$AO$2:$AO$301,0)),"")</f>
        <v/>
      </c>
      <c r="E229" s="27">
        <f>IFERROR(INDEX('Sign-ups'!$AH$2:$AH$301,MATCH(224,'Sign-ups'!$AO$2:$AO$301,0)),"")</f>
        <v/>
      </c>
      <c r="F229" s="27">
        <f>IFERROR(INDEX('Sign-ups'!$AI$2:$AI$301,MATCH(224,'Sign-ups'!$AO$2:$AO$301,0)),"")</f>
        <v/>
      </c>
      <c r="G229" s="27">
        <f>IFERROR(INDEX('Sign-ups'!$AK$2:$AK$301,MATCH(224,'Sign-ups'!$AO$2:$AO$301,0)),"")</f>
        <v/>
      </c>
      <c r="H229" s="26">
        <f>IFERROR(INDEX('Sign-ups'!$AJ$2:$AJ$301,MATCH(224,'Sign-ups'!$AO$2:$AO$301,0)),"")</f>
        <v/>
      </c>
      <c r="I229" s="26">
        <f>IFERROR(INDEX('Sign-ups'!$AN$2:$AN$301,MATCH(224,'Sign-ups'!$AO$2:$AO$301,0)),"")</f>
        <v/>
      </c>
      <c r="J229" s="26">
        <f>IFERROR(INDEX('Sign-ups'!$AA$2:$AA$301,MATCH(224,'Sign-ups'!$AO$2:$AO$301,0))&amp;"","")</f>
        <v/>
      </c>
      <c r="K229" s="27">
        <f>IFERROR(INDEX('Sign-ups'!$AB$2:$AB$301,MATCH(224,'Sign-ups'!$AO$2:$AO$301,0))&amp;"","")</f>
        <v/>
      </c>
    </row>
    <row r="230">
      <c r="A230" s="26">
        <f>IF(ISNUMBER(MATCH(225,'Sign-ups'!$AO$2:$AO$301,0)),225,"")</f>
        <v/>
      </c>
      <c r="B230" s="27">
        <f>IFERROR(INDEX('Sign-ups'!$AE$2:$AE$301,MATCH(225,'Sign-ups'!$AO$2:$AO$301,0)),"")</f>
        <v/>
      </c>
      <c r="C230" s="27">
        <f>IFERROR(INDEX('Sign-ups'!$AF$2:$AF$301,MATCH(225,'Sign-ups'!$AO$2:$AO$301,0)),"")</f>
        <v/>
      </c>
      <c r="D230" s="27">
        <f>IFERROR(INDEX('Sign-ups'!$AG$2:$AG$301,MATCH(225,'Sign-ups'!$AO$2:$AO$301,0)),"")</f>
        <v/>
      </c>
      <c r="E230" s="27">
        <f>IFERROR(INDEX('Sign-ups'!$AH$2:$AH$301,MATCH(225,'Sign-ups'!$AO$2:$AO$301,0)),"")</f>
        <v/>
      </c>
      <c r="F230" s="27">
        <f>IFERROR(INDEX('Sign-ups'!$AI$2:$AI$301,MATCH(225,'Sign-ups'!$AO$2:$AO$301,0)),"")</f>
        <v/>
      </c>
      <c r="G230" s="27">
        <f>IFERROR(INDEX('Sign-ups'!$AK$2:$AK$301,MATCH(225,'Sign-ups'!$AO$2:$AO$301,0)),"")</f>
        <v/>
      </c>
      <c r="H230" s="26">
        <f>IFERROR(INDEX('Sign-ups'!$AJ$2:$AJ$301,MATCH(225,'Sign-ups'!$AO$2:$AO$301,0)),"")</f>
        <v/>
      </c>
      <c r="I230" s="26">
        <f>IFERROR(INDEX('Sign-ups'!$AN$2:$AN$301,MATCH(225,'Sign-ups'!$AO$2:$AO$301,0)),"")</f>
        <v/>
      </c>
      <c r="J230" s="26">
        <f>IFERROR(INDEX('Sign-ups'!$AA$2:$AA$301,MATCH(225,'Sign-ups'!$AO$2:$AO$301,0))&amp;"","")</f>
        <v/>
      </c>
      <c r="K230" s="27">
        <f>IFERROR(INDEX('Sign-ups'!$AB$2:$AB$301,MATCH(225,'Sign-ups'!$AO$2:$AO$301,0))&amp;"","")</f>
        <v/>
      </c>
    </row>
    <row r="231">
      <c r="A231" s="26">
        <f>IF(ISNUMBER(MATCH(226,'Sign-ups'!$AO$2:$AO$301,0)),226,"")</f>
        <v/>
      </c>
      <c r="B231" s="27">
        <f>IFERROR(INDEX('Sign-ups'!$AE$2:$AE$301,MATCH(226,'Sign-ups'!$AO$2:$AO$301,0)),"")</f>
        <v/>
      </c>
      <c r="C231" s="27">
        <f>IFERROR(INDEX('Sign-ups'!$AF$2:$AF$301,MATCH(226,'Sign-ups'!$AO$2:$AO$301,0)),"")</f>
        <v/>
      </c>
      <c r="D231" s="27">
        <f>IFERROR(INDEX('Sign-ups'!$AG$2:$AG$301,MATCH(226,'Sign-ups'!$AO$2:$AO$301,0)),"")</f>
        <v/>
      </c>
      <c r="E231" s="27">
        <f>IFERROR(INDEX('Sign-ups'!$AH$2:$AH$301,MATCH(226,'Sign-ups'!$AO$2:$AO$301,0)),"")</f>
        <v/>
      </c>
      <c r="F231" s="27">
        <f>IFERROR(INDEX('Sign-ups'!$AI$2:$AI$301,MATCH(226,'Sign-ups'!$AO$2:$AO$301,0)),"")</f>
        <v/>
      </c>
      <c r="G231" s="27">
        <f>IFERROR(INDEX('Sign-ups'!$AK$2:$AK$301,MATCH(226,'Sign-ups'!$AO$2:$AO$301,0)),"")</f>
        <v/>
      </c>
      <c r="H231" s="26">
        <f>IFERROR(INDEX('Sign-ups'!$AJ$2:$AJ$301,MATCH(226,'Sign-ups'!$AO$2:$AO$301,0)),"")</f>
        <v/>
      </c>
      <c r="I231" s="26">
        <f>IFERROR(INDEX('Sign-ups'!$AN$2:$AN$301,MATCH(226,'Sign-ups'!$AO$2:$AO$301,0)),"")</f>
        <v/>
      </c>
      <c r="J231" s="26">
        <f>IFERROR(INDEX('Sign-ups'!$AA$2:$AA$301,MATCH(226,'Sign-ups'!$AO$2:$AO$301,0))&amp;"","")</f>
        <v/>
      </c>
      <c r="K231" s="27">
        <f>IFERROR(INDEX('Sign-ups'!$AB$2:$AB$301,MATCH(226,'Sign-ups'!$AO$2:$AO$301,0))&amp;"","")</f>
        <v/>
      </c>
    </row>
    <row r="232">
      <c r="A232" s="26">
        <f>IF(ISNUMBER(MATCH(227,'Sign-ups'!$AO$2:$AO$301,0)),227,"")</f>
        <v/>
      </c>
      <c r="B232" s="27">
        <f>IFERROR(INDEX('Sign-ups'!$AE$2:$AE$301,MATCH(227,'Sign-ups'!$AO$2:$AO$301,0)),"")</f>
        <v/>
      </c>
      <c r="C232" s="27">
        <f>IFERROR(INDEX('Sign-ups'!$AF$2:$AF$301,MATCH(227,'Sign-ups'!$AO$2:$AO$301,0)),"")</f>
        <v/>
      </c>
      <c r="D232" s="27">
        <f>IFERROR(INDEX('Sign-ups'!$AG$2:$AG$301,MATCH(227,'Sign-ups'!$AO$2:$AO$301,0)),"")</f>
        <v/>
      </c>
      <c r="E232" s="27">
        <f>IFERROR(INDEX('Sign-ups'!$AH$2:$AH$301,MATCH(227,'Sign-ups'!$AO$2:$AO$301,0)),"")</f>
        <v/>
      </c>
      <c r="F232" s="27">
        <f>IFERROR(INDEX('Sign-ups'!$AI$2:$AI$301,MATCH(227,'Sign-ups'!$AO$2:$AO$301,0)),"")</f>
        <v/>
      </c>
      <c r="G232" s="27">
        <f>IFERROR(INDEX('Sign-ups'!$AK$2:$AK$301,MATCH(227,'Sign-ups'!$AO$2:$AO$301,0)),"")</f>
        <v/>
      </c>
      <c r="H232" s="26">
        <f>IFERROR(INDEX('Sign-ups'!$AJ$2:$AJ$301,MATCH(227,'Sign-ups'!$AO$2:$AO$301,0)),"")</f>
        <v/>
      </c>
      <c r="I232" s="26">
        <f>IFERROR(INDEX('Sign-ups'!$AN$2:$AN$301,MATCH(227,'Sign-ups'!$AO$2:$AO$301,0)),"")</f>
        <v/>
      </c>
      <c r="J232" s="26">
        <f>IFERROR(INDEX('Sign-ups'!$AA$2:$AA$301,MATCH(227,'Sign-ups'!$AO$2:$AO$301,0))&amp;"","")</f>
        <v/>
      </c>
      <c r="K232" s="27">
        <f>IFERROR(INDEX('Sign-ups'!$AB$2:$AB$301,MATCH(227,'Sign-ups'!$AO$2:$AO$301,0))&amp;"","")</f>
        <v/>
      </c>
    </row>
    <row r="233">
      <c r="A233" s="26">
        <f>IF(ISNUMBER(MATCH(228,'Sign-ups'!$AO$2:$AO$301,0)),228,"")</f>
        <v/>
      </c>
      <c r="B233" s="27">
        <f>IFERROR(INDEX('Sign-ups'!$AE$2:$AE$301,MATCH(228,'Sign-ups'!$AO$2:$AO$301,0)),"")</f>
        <v/>
      </c>
      <c r="C233" s="27">
        <f>IFERROR(INDEX('Sign-ups'!$AF$2:$AF$301,MATCH(228,'Sign-ups'!$AO$2:$AO$301,0)),"")</f>
        <v/>
      </c>
      <c r="D233" s="27">
        <f>IFERROR(INDEX('Sign-ups'!$AG$2:$AG$301,MATCH(228,'Sign-ups'!$AO$2:$AO$301,0)),"")</f>
        <v/>
      </c>
      <c r="E233" s="27">
        <f>IFERROR(INDEX('Sign-ups'!$AH$2:$AH$301,MATCH(228,'Sign-ups'!$AO$2:$AO$301,0)),"")</f>
        <v/>
      </c>
      <c r="F233" s="27">
        <f>IFERROR(INDEX('Sign-ups'!$AI$2:$AI$301,MATCH(228,'Sign-ups'!$AO$2:$AO$301,0)),"")</f>
        <v/>
      </c>
      <c r="G233" s="27">
        <f>IFERROR(INDEX('Sign-ups'!$AK$2:$AK$301,MATCH(228,'Sign-ups'!$AO$2:$AO$301,0)),"")</f>
        <v/>
      </c>
      <c r="H233" s="26">
        <f>IFERROR(INDEX('Sign-ups'!$AJ$2:$AJ$301,MATCH(228,'Sign-ups'!$AO$2:$AO$301,0)),"")</f>
        <v/>
      </c>
      <c r="I233" s="26">
        <f>IFERROR(INDEX('Sign-ups'!$AN$2:$AN$301,MATCH(228,'Sign-ups'!$AO$2:$AO$301,0)),"")</f>
        <v/>
      </c>
      <c r="J233" s="26">
        <f>IFERROR(INDEX('Sign-ups'!$AA$2:$AA$301,MATCH(228,'Sign-ups'!$AO$2:$AO$301,0))&amp;"","")</f>
        <v/>
      </c>
      <c r="K233" s="27">
        <f>IFERROR(INDEX('Sign-ups'!$AB$2:$AB$301,MATCH(228,'Sign-ups'!$AO$2:$AO$301,0))&amp;"","")</f>
        <v/>
      </c>
    </row>
    <row r="234">
      <c r="A234" s="26">
        <f>IF(ISNUMBER(MATCH(229,'Sign-ups'!$AO$2:$AO$301,0)),229,"")</f>
        <v/>
      </c>
      <c r="B234" s="27">
        <f>IFERROR(INDEX('Sign-ups'!$AE$2:$AE$301,MATCH(229,'Sign-ups'!$AO$2:$AO$301,0)),"")</f>
        <v/>
      </c>
      <c r="C234" s="27">
        <f>IFERROR(INDEX('Sign-ups'!$AF$2:$AF$301,MATCH(229,'Sign-ups'!$AO$2:$AO$301,0)),"")</f>
        <v/>
      </c>
      <c r="D234" s="27">
        <f>IFERROR(INDEX('Sign-ups'!$AG$2:$AG$301,MATCH(229,'Sign-ups'!$AO$2:$AO$301,0)),"")</f>
        <v/>
      </c>
      <c r="E234" s="27">
        <f>IFERROR(INDEX('Sign-ups'!$AH$2:$AH$301,MATCH(229,'Sign-ups'!$AO$2:$AO$301,0)),"")</f>
        <v/>
      </c>
      <c r="F234" s="27">
        <f>IFERROR(INDEX('Sign-ups'!$AI$2:$AI$301,MATCH(229,'Sign-ups'!$AO$2:$AO$301,0)),"")</f>
        <v/>
      </c>
      <c r="G234" s="27">
        <f>IFERROR(INDEX('Sign-ups'!$AK$2:$AK$301,MATCH(229,'Sign-ups'!$AO$2:$AO$301,0)),"")</f>
        <v/>
      </c>
      <c r="H234" s="26">
        <f>IFERROR(INDEX('Sign-ups'!$AJ$2:$AJ$301,MATCH(229,'Sign-ups'!$AO$2:$AO$301,0)),"")</f>
        <v/>
      </c>
      <c r="I234" s="26">
        <f>IFERROR(INDEX('Sign-ups'!$AN$2:$AN$301,MATCH(229,'Sign-ups'!$AO$2:$AO$301,0)),"")</f>
        <v/>
      </c>
      <c r="J234" s="26">
        <f>IFERROR(INDEX('Sign-ups'!$AA$2:$AA$301,MATCH(229,'Sign-ups'!$AO$2:$AO$301,0))&amp;"","")</f>
        <v/>
      </c>
      <c r="K234" s="27">
        <f>IFERROR(INDEX('Sign-ups'!$AB$2:$AB$301,MATCH(229,'Sign-ups'!$AO$2:$AO$301,0))&amp;"","")</f>
        <v/>
      </c>
    </row>
    <row r="235">
      <c r="A235" s="26">
        <f>IF(ISNUMBER(MATCH(230,'Sign-ups'!$AO$2:$AO$301,0)),230,"")</f>
        <v/>
      </c>
      <c r="B235" s="27">
        <f>IFERROR(INDEX('Sign-ups'!$AE$2:$AE$301,MATCH(230,'Sign-ups'!$AO$2:$AO$301,0)),"")</f>
        <v/>
      </c>
      <c r="C235" s="27">
        <f>IFERROR(INDEX('Sign-ups'!$AF$2:$AF$301,MATCH(230,'Sign-ups'!$AO$2:$AO$301,0)),"")</f>
        <v/>
      </c>
      <c r="D235" s="27">
        <f>IFERROR(INDEX('Sign-ups'!$AG$2:$AG$301,MATCH(230,'Sign-ups'!$AO$2:$AO$301,0)),"")</f>
        <v/>
      </c>
      <c r="E235" s="27">
        <f>IFERROR(INDEX('Sign-ups'!$AH$2:$AH$301,MATCH(230,'Sign-ups'!$AO$2:$AO$301,0)),"")</f>
        <v/>
      </c>
      <c r="F235" s="27">
        <f>IFERROR(INDEX('Sign-ups'!$AI$2:$AI$301,MATCH(230,'Sign-ups'!$AO$2:$AO$301,0)),"")</f>
        <v/>
      </c>
      <c r="G235" s="27">
        <f>IFERROR(INDEX('Sign-ups'!$AK$2:$AK$301,MATCH(230,'Sign-ups'!$AO$2:$AO$301,0)),"")</f>
        <v/>
      </c>
      <c r="H235" s="26">
        <f>IFERROR(INDEX('Sign-ups'!$AJ$2:$AJ$301,MATCH(230,'Sign-ups'!$AO$2:$AO$301,0)),"")</f>
        <v/>
      </c>
      <c r="I235" s="26">
        <f>IFERROR(INDEX('Sign-ups'!$AN$2:$AN$301,MATCH(230,'Sign-ups'!$AO$2:$AO$301,0)),"")</f>
        <v/>
      </c>
      <c r="J235" s="26">
        <f>IFERROR(INDEX('Sign-ups'!$AA$2:$AA$301,MATCH(230,'Sign-ups'!$AO$2:$AO$301,0))&amp;"","")</f>
        <v/>
      </c>
      <c r="K235" s="27">
        <f>IFERROR(INDEX('Sign-ups'!$AB$2:$AB$301,MATCH(230,'Sign-ups'!$AO$2:$AO$301,0))&amp;"","")</f>
        <v/>
      </c>
    </row>
    <row r="236">
      <c r="A236" s="26">
        <f>IF(ISNUMBER(MATCH(231,'Sign-ups'!$AO$2:$AO$301,0)),231,"")</f>
        <v/>
      </c>
      <c r="B236" s="27">
        <f>IFERROR(INDEX('Sign-ups'!$AE$2:$AE$301,MATCH(231,'Sign-ups'!$AO$2:$AO$301,0)),"")</f>
        <v/>
      </c>
      <c r="C236" s="27">
        <f>IFERROR(INDEX('Sign-ups'!$AF$2:$AF$301,MATCH(231,'Sign-ups'!$AO$2:$AO$301,0)),"")</f>
        <v/>
      </c>
      <c r="D236" s="27">
        <f>IFERROR(INDEX('Sign-ups'!$AG$2:$AG$301,MATCH(231,'Sign-ups'!$AO$2:$AO$301,0)),"")</f>
        <v/>
      </c>
      <c r="E236" s="27">
        <f>IFERROR(INDEX('Sign-ups'!$AH$2:$AH$301,MATCH(231,'Sign-ups'!$AO$2:$AO$301,0)),"")</f>
        <v/>
      </c>
      <c r="F236" s="27">
        <f>IFERROR(INDEX('Sign-ups'!$AI$2:$AI$301,MATCH(231,'Sign-ups'!$AO$2:$AO$301,0)),"")</f>
        <v/>
      </c>
      <c r="G236" s="27">
        <f>IFERROR(INDEX('Sign-ups'!$AK$2:$AK$301,MATCH(231,'Sign-ups'!$AO$2:$AO$301,0)),"")</f>
        <v/>
      </c>
      <c r="H236" s="26">
        <f>IFERROR(INDEX('Sign-ups'!$AJ$2:$AJ$301,MATCH(231,'Sign-ups'!$AO$2:$AO$301,0)),"")</f>
        <v/>
      </c>
      <c r="I236" s="26">
        <f>IFERROR(INDEX('Sign-ups'!$AN$2:$AN$301,MATCH(231,'Sign-ups'!$AO$2:$AO$301,0)),"")</f>
        <v/>
      </c>
      <c r="J236" s="26">
        <f>IFERROR(INDEX('Sign-ups'!$AA$2:$AA$301,MATCH(231,'Sign-ups'!$AO$2:$AO$301,0))&amp;"","")</f>
        <v/>
      </c>
      <c r="K236" s="27">
        <f>IFERROR(INDEX('Sign-ups'!$AB$2:$AB$301,MATCH(231,'Sign-ups'!$AO$2:$AO$301,0))&amp;"","")</f>
        <v/>
      </c>
    </row>
    <row r="237">
      <c r="A237" s="26">
        <f>IF(ISNUMBER(MATCH(232,'Sign-ups'!$AO$2:$AO$301,0)),232,"")</f>
        <v/>
      </c>
      <c r="B237" s="27">
        <f>IFERROR(INDEX('Sign-ups'!$AE$2:$AE$301,MATCH(232,'Sign-ups'!$AO$2:$AO$301,0)),"")</f>
        <v/>
      </c>
      <c r="C237" s="27">
        <f>IFERROR(INDEX('Sign-ups'!$AF$2:$AF$301,MATCH(232,'Sign-ups'!$AO$2:$AO$301,0)),"")</f>
        <v/>
      </c>
      <c r="D237" s="27">
        <f>IFERROR(INDEX('Sign-ups'!$AG$2:$AG$301,MATCH(232,'Sign-ups'!$AO$2:$AO$301,0)),"")</f>
        <v/>
      </c>
      <c r="E237" s="27">
        <f>IFERROR(INDEX('Sign-ups'!$AH$2:$AH$301,MATCH(232,'Sign-ups'!$AO$2:$AO$301,0)),"")</f>
        <v/>
      </c>
      <c r="F237" s="27">
        <f>IFERROR(INDEX('Sign-ups'!$AI$2:$AI$301,MATCH(232,'Sign-ups'!$AO$2:$AO$301,0)),"")</f>
        <v/>
      </c>
      <c r="G237" s="27">
        <f>IFERROR(INDEX('Sign-ups'!$AK$2:$AK$301,MATCH(232,'Sign-ups'!$AO$2:$AO$301,0)),"")</f>
        <v/>
      </c>
      <c r="H237" s="26">
        <f>IFERROR(INDEX('Sign-ups'!$AJ$2:$AJ$301,MATCH(232,'Sign-ups'!$AO$2:$AO$301,0)),"")</f>
        <v/>
      </c>
      <c r="I237" s="26">
        <f>IFERROR(INDEX('Sign-ups'!$AN$2:$AN$301,MATCH(232,'Sign-ups'!$AO$2:$AO$301,0)),"")</f>
        <v/>
      </c>
      <c r="J237" s="26">
        <f>IFERROR(INDEX('Sign-ups'!$AA$2:$AA$301,MATCH(232,'Sign-ups'!$AO$2:$AO$301,0))&amp;"","")</f>
        <v/>
      </c>
      <c r="K237" s="27">
        <f>IFERROR(INDEX('Sign-ups'!$AB$2:$AB$301,MATCH(232,'Sign-ups'!$AO$2:$AO$301,0))&amp;"","")</f>
        <v/>
      </c>
    </row>
    <row r="238">
      <c r="A238" s="26">
        <f>IF(ISNUMBER(MATCH(233,'Sign-ups'!$AO$2:$AO$301,0)),233,"")</f>
        <v/>
      </c>
      <c r="B238" s="27">
        <f>IFERROR(INDEX('Sign-ups'!$AE$2:$AE$301,MATCH(233,'Sign-ups'!$AO$2:$AO$301,0)),"")</f>
        <v/>
      </c>
      <c r="C238" s="27">
        <f>IFERROR(INDEX('Sign-ups'!$AF$2:$AF$301,MATCH(233,'Sign-ups'!$AO$2:$AO$301,0)),"")</f>
        <v/>
      </c>
      <c r="D238" s="27">
        <f>IFERROR(INDEX('Sign-ups'!$AG$2:$AG$301,MATCH(233,'Sign-ups'!$AO$2:$AO$301,0)),"")</f>
        <v/>
      </c>
      <c r="E238" s="27">
        <f>IFERROR(INDEX('Sign-ups'!$AH$2:$AH$301,MATCH(233,'Sign-ups'!$AO$2:$AO$301,0)),"")</f>
        <v/>
      </c>
      <c r="F238" s="27">
        <f>IFERROR(INDEX('Sign-ups'!$AI$2:$AI$301,MATCH(233,'Sign-ups'!$AO$2:$AO$301,0)),"")</f>
        <v/>
      </c>
      <c r="G238" s="27">
        <f>IFERROR(INDEX('Sign-ups'!$AK$2:$AK$301,MATCH(233,'Sign-ups'!$AO$2:$AO$301,0)),"")</f>
        <v/>
      </c>
      <c r="H238" s="26">
        <f>IFERROR(INDEX('Sign-ups'!$AJ$2:$AJ$301,MATCH(233,'Sign-ups'!$AO$2:$AO$301,0)),"")</f>
        <v/>
      </c>
      <c r="I238" s="26">
        <f>IFERROR(INDEX('Sign-ups'!$AN$2:$AN$301,MATCH(233,'Sign-ups'!$AO$2:$AO$301,0)),"")</f>
        <v/>
      </c>
      <c r="J238" s="26">
        <f>IFERROR(INDEX('Sign-ups'!$AA$2:$AA$301,MATCH(233,'Sign-ups'!$AO$2:$AO$301,0))&amp;"","")</f>
        <v/>
      </c>
      <c r="K238" s="27">
        <f>IFERROR(INDEX('Sign-ups'!$AB$2:$AB$301,MATCH(233,'Sign-ups'!$AO$2:$AO$301,0))&amp;"","")</f>
        <v/>
      </c>
    </row>
    <row r="239">
      <c r="A239" s="26">
        <f>IF(ISNUMBER(MATCH(234,'Sign-ups'!$AO$2:$AO$301,0)),234,"")</f>
        <v/>
      </c>
      <c r="B239" s="27">
        <f>IFERROR(INDEX('Sign-ups'!$AE$2:$AE$301,MATCH(234,'Sign-ups'!$AO$2:$AO$301,0)),"")</f>
        <v/>
      </c>
      <c r="C239" s="27">
        <f>IFERROR(INDEX('Sign-ups'!$AF$2:$AF$301,MATCH(234,'Sign-ups'!$AO$2:$AO$301,0)),"")</f>
        <v/>
      </c>
      <c r="D239" s="27">
        <f>IFERROR(INDEX('Sign-ups'!$AG$2:$AG$301,MATCH(234,'Sign-ups'!$AO$2:$AO$301,0)),"")</f>
        <v/>
      </c>
      <c r="E239" s="27">
        <f>IFERROR(INDEX('Sign-ups'!$AH$2:$AH$301,MATCH(234,'Sign-ups'!$AO$2:$AO$301,0)),"")</f>
        <v/>
      </c>
      <c r="F239" s="27">
        <f>IFERROR(INDEX('Sign-ups'!$AI$2:$AI$301,MATCH(234,'Sign-ups'!$AO$2:$AO$301,0)),"")</f>
        <v/>
      </c>
      <c r="G239" s="27">
        <f>IFERROR(INDEX('Sign-ups'!$AK$2:$AK$301,MATCH(234,'Sign-ups'!$AO$2:$AO$301,0)),"")</f>
        <v/>
      </c>
      <c r="H239" s="26">
        <f>IFERROR(INDEX('Sign-ups'!$AJ$2:$AJ$301,MATCH(234,'Sign-ups'!$AO$2:$AO$301,0)),"")</f>
        <v/>
      </c>
      <c r="I239" s="26">
        <f>IFERROR(INDEX('Sign-ups'!$AN$2:$AN$301,MATCH(234,'Sign-ups'!$AO$2:$AO$301,0)),"")</f>
        <v/>
      </c>
      <c r="J239" s="26">
        <f>IFERROR(INDEX('Sign-ups'!$AA$2:$AA$301,MATCH(234,'Sign-ups'!$AO$2:$AO$301,0))&amp;"","")</f>
        <v/>
      </c>
      <c r="K239" s="27">
        <f>IFERROR(INDEX('Sign-ups'!$AB$2:$AB$301,MATCH(234,'Sign-ups'!$AO$2:$AO$301,0))&amp;"","")</f>
        <v/>
      </c>
    </row>
    <row r="240">
      <c r="A240" s="26">
        <f>IF(ISNUMBER(MATCH(235,'Sign-ups'!$AO$2:$AO$301,0)),235,"")</f>
        <v/>
      </c>
      <c r="B240" s="27">
        <f>IFERROR(INDEX('Sign-ups'!$AE$2:$AE$301,MATCH(235,'Sign-ups'!$AO$2:$AO$301,0)),"")</f>
        <v/>
      </c>
      <c r="C240" s="27">
        <f>IFERROR(INDEX('Sign-ups'!$AF$2:$AF$301,MATCH(235,'Sign-ups'!$AO$2:$AO$301,0)),"")</f>
        <v/>
      </c>
      <c r="D240" s="27">
        <f>IFERROR(INDEX('Sign-ups'!$AG$2:$AG$301,MATCH(235,'Sign-ups'!$AO$2:$AO$301,0)),"")</f>
        <v/>
      </c>
      <c r="E240" s="27">
        <f>IFERROR(INDEX('Sign-ups'!$AH$2:$AH$301,MATCH(235,'Sign-ups'!$AO$2:$AO$301,0)),"")</f>
        <v/>
      </c>
      <c r="F240" s="27">
        <f>IFERROR(INDEX('Sign-ups'!$AI$2:$AI$301,MATCH(235,'Sign-ups'!$AO$2:$AO$301,0)),"")</f>
        <v/>
      </c>
      <c r="G240" s="27">
        <f>IFERROR(INDEX('Sign-ups'!$AK$2:$AK$301,MATCH(235,'Sign-ups'!$AO$2:$AO$301,0)),"")</f>
        <v/>
      </c>
      <c r="H240" s="26">
        <f>IFERROR(INDEX('Sign-ups'!$AJ$2:$AJ$301,MATCH(235,'Sign-ups'!$AO$2:$AO$301,0)),"")</f>
        <v/>
      </c>
      <c r="I240" s="26">
        <f>IFERROR(INDEX('Sign-ups'!$AN$2:$AN$301,MATCH(235,'Sign-ups'!$AO$2:$AO$301,0)),"")</f>
        <v/>
      </c>
      <c r="J240" s="26">
        <f>IFERROR(INDEX('Sign-ups'!$AA$2:$AA$301,MATCH(235,'Sign-ups'!$AO$2:$AO$301,0))&amp;"","")</f>
        <v/>
      </c>
      <c r="K240" s="27">
        <f>IFERROR(INDEX('Sign-ups'!$AB$2:$AB$301,MATCH(235,'Sign-ups'!$AO$2:$AO$301,0))&amp;"","")</f>
        <v/>
      </c>
    </row>
    <row r="241">
      <c r="A241" s="26">
        <f>IF(ISNUMBER(MATCH(236,'Sign-ups'!$AO$2:$AO$301,0)),236,"")</f>
        <v/>
      </c>
      <c r="B241" s="27">
        <f>IFERROR(INDEX('Sign-ups'!$AE$2:$AE$301,MATCH(236,'Sign-ups'!$AO$2:$AO$301,0)),"")</f>
        <v/>
      </c>
      <c r="C241" s="27">
        <f>IFERROR(INDEX('Sign-ups'!$AF$2:$AF$301,MATCH(236,'Sign-ups'!$AO$2:$AO$301,0)),"")</f>
        <v/>
      </c>
      <c r="D241" s="27">
        <f>IFERROR(INDEX('Sign-ups'!$AG$2:$AG$301,MATCH(236,'Sign-ups'!$AO$2:$AO$301,0)),"")</f>
        <v/>
      </c>
      <c r="E241" s="27">
        <f>IFERROR(INDEX('Sign-ups'!$AH$2:$AH$301,MATCH(236,'Sign-ups'!$AO$2:$AO$301,0)),"")</f>
        <v/>
      </c>
      <c r="F241" s="27">
        <f>IFERROR(INDEX('Sign-ups'!$AI$2:$AI$301,MATCH(236,'Sign-ups'!$AO$2:$AO$301,0)),"")</f>
        <v/>
      </c>
      <c r="G241" s="27">
        <f>IFERROR(INDEX('Sign-ups'!$AK$2:$AK$301,MATCH(236,'Sign-ups'!$AO$2:$AO$301,0)),"")</f>
        <v/>
      </c>
      <c r="H241" s="26">
        <f>IFERROR(INDEX('Sign-ups'!$AJ$2:$AJ$301,MATCH(236,'Sign-ups'!$AO$2:$AO$301,0)),"")</f>
        <v/>
      </c>
      <c r="I241" s="26">
        <f>IFERROR(INDEX('Sign-ups'!$AN$2:$AN$301,MATCH(236,'Sign-ups'!$AO$2:$AO$301,0)),"")</f>
        <v/>
      </c>
      <c r="J241" s="26">
        <f>IFERROR(INDEX('Sign-ups'!$AA$2:$AA$301,MATCH(236,'Sign-ups'!$AO$2:$AO$301,0))&amp;"","")</f>
        <v/>
      </c>
      <c r="K241" s="27">
        <f>IFERROR(INDEX('Sign-ups'!$AB$2:$AB$301,MATCH(236,'Sign-ups'!$AO$2:$AO$301,0))&amp;"","")</f>
        <v/>
      </c>
    </row>
    <row r="242">
      <c r="A242" s="26">
        <f>IF(ISNUMBER(MATCH(237,'Sign-ups'!$AO$2:$AO$301,0)),237,"")</f>
        <v/>
      </c>
      <c r="B242" s="27">
        <f>IFERROR(INDEX('Sign-ups'!$AE$2:$AE$301,MATCH(237,'Sign-ups'!$AO$2:$AO$301,0)),"")</f>
        <v/>
      </c>
      <c r="C242" s="27">
        <f>IFERROR(INDEX('Sign-ups'!$AF$2:$AF$301,MATCH(237,'Sign-ups'!$AO$2:$AO$301,0)),"")</f>
        <v/>
      </c>
      <c r="D242" s="27">
        <f>IFERROR(INDEX('Sign-ups'!$AG$2:$AG$301,MATCH(237,'Sign-ups'!$AO$2:$AO$301,0)),"")</f>
        <v/>
      </c>
      <c r="E242" s="27">
        <f>IFERROR(INDEX('Sign-ups'!$AH$2:$AH$301,MATCH(237,'Sign-ups'!$AO$2:$AO$301,0)),"")</f>
        <v/>
      </c>
      <c r="F242" s="27">
        <f>IFERROR(INDEX('Sign-ups'!$AI$2:$AI$301,MATCH(237,'Sign-ups'!$AO$2:$AO$301,0)),"")</f>
        <v/>
      </c>
      <c r="G242" s="27">
        <f>IFERROR(INDEX('Sign-ups'!$AK$2:$AK$301,MATCH(237,'Sign-ups'!$AO$2:$AO$301,0)),"")</f>
        <v/>
      </c>
      <c r="H242" s="26">
        <f>IFERROR(INDEX('Sign-ups'!$AJ$2:$AJ$301,MATCH(237,'Sign-ups'!$AO$2:$AO$301,0)),"")</f>
        <v/>
      </c>
      <c r="I242" s="26">
        <f>IFERROR(INDEX('Sign-ups'!$AN$2:$AN$301,MATCH(237,'Sign-ups'!$AO$2:$AO$301,0)),"")</f>
        <v/>
      </c>
      <c r="J242" s="26">
        <f>IFERROR(INDEX('Sign-ups'!$AA$2:$AA$301,MATCH(237,'Sign-ups'!$AO$2:$AO$301,0))&amp;"","")</f>
        <v/>
      </c>
      <c r="K242" s="27">
        <f>IFERROR(INDEX('Sign-ups'!$AB$2:$AB$301,MATCH(237,'Sign-ups'!$AO$2:$AO$301,0))&amp;"","")</f>
        <v/>
      </c>
    </row>
    <row r="243">
      <c r="A243" s="26">
        <f>IF(ISNUMBER(MATCH(238,'Sign-ups'!$AO$2:$AO$301,0)),238,"")</f>
        <v/>
      </c>
      <c r="B243" s="27">
        <f>IFERROR(INDEX('Sign-ups'!$AE$2:$AE$301,MATCH(238,'Sign-ups'!$AO$2:$AO$301,0)),"")</f>
        <v/>
      </c>
      <c r="C243" s="27">
        <f>IFERROR(INDEX('Sign-ups'!$AF$2:$AF$301,MATCH(238,'Sign-ups'!$AO$2:$AO$301,0)),"")</f>
        <v/>
      </c>
      <c r="D243" s="27">
        <f>IFERROR(INDEX('Sign-ups'!$AG$2:$AG$301,MATCH(238,'Sign-ups'!$AO$2:$AO$301,0)),"")</f>
        <v/>
      </c>
      <c r="E243" s="27">
        <f>IFERROR(INDEX('Sign-ups'!$AH$2:$AH$301,MATCH(238,'Sign-ups'!$AO$2:$AO$301,0)),"")</f>
        <v/>
      </c>
      <c r="F243" s="27">
        <f>IFERROR(INDEX('Sign-ups'!$AI$2:$AI$301,MATCH(238,'Sign-ups'!$AO$2:$AO$301,0)),"")</f>
        <v/>
      </c>
      <c r="G243" s="27">
        <f>IFERROR(INDEX('Sign-ups'!$AK$2:$AK$301,MATCH(238,'Sign-ups'!$AO$2:$AO$301,0)),"")</f>
        <v/>
      </c>
      <c r="H243" s="26">
        <f>IFERROR(INDEX('Sign-ups'!$AJ$2:$AJ$301,MATCH(238,'Sign-ups'!$AO$2:$AO$301,0)),"")</f>
        <v/>
      </c>
      <c r="I243" s="26">
        <f>IFERROR(INDEX('Sign-ups'!$AN$2:$AN$301,MATCH(238,'Sign-ups'!$AO$2:$AO$301,0)),"")</f>
        <v/>
      </c>
      <c r="J243" s="26">
        <f>IFERROR(INDEX('Sign-ups'!$AA$2:$AA$301,MATCH(238,'Sign-ups'!$AO$2:$AO$301,0))&amp;"","")</f>
        <v/>
      </c>
      <c r="K243" s="27">
        <f>IFERROR(INDEX('Sign-ups'!$AB$2:$AB$301,MATCH(238,'Sign-ups'!$AO$2:$AO$301,0))&amp;"","")</f>
        <v/>
      </c>
    </row>
    <row r="244">
      <c r="A244" s="26">
        <f>IF(ISNUMBER(MATCH(239,'Sign-ups'!$AO$2:$AO$301,0)),239,"")</f>
        <v/>
      </c>
      <c r="B244" s="27">
        <f>IFERROR(INDEX('Sign-ups'!$AE$2:$AE$301,MATCH(239,'Sign-ups'!$AO$2:$AO$301,0)),"")</f>
        <v/>
      </c>
      <c r="C244" s="27">
        <f>IFERROR(INDEX('Sign-ups'!$AF$2:$AF$301,MATCH(239,'Sign-ups'!$AO$2:$AO$301,0)),"")</f>
        <v/>
      </c>
      <c r="D244" s="27">
        <f>IFERROR(INDEX('Sign-ups'!$AG$2:$AG$301,MATCH(239,'Sign-ups'!$AO$2:$AO$301,0)),"")</f>
        <v/>
      </c>
      <c r="E244" s="27">
        <f>IFERROR(INDEX('Sign-ups'!$AH$2:$AH$301,MATCH(239,'Sign-ups'!$AO$2:$AO$301,0)),"")</f>
        <v/>
      </c>
      <c r="F244" s="27">
        <f>IFERROR(INDEX('Sign-ups'!$AI$2:$AI$301,MATCH(239,'Sign-ups'!$AO$2:$AO$301,0)),"")</f>
        <v/>
      </c>
      <c r="G244" s="27">
        <f>IFERROR(INDEX('Sign-ups'!$AK$2:$AK$301,MATCH(239,'Sign-ups'!$AO$2:$AO$301,0)),"")</f>
        <v/>
      </c>
      <c r="H244" s="26">
        <f>IFERROR(INDEX('Sign-ups'!$AJ$2:$AJ$301,MATCH(239,'Sign-ups'!$AO$2:$AO$301,0)),"")</f>
        <v/>
      </c>
      <c r="I244" s="26">
        <f>IFERROR(INDEX('Sign-ups'!$AN$2:$AN$301,MATCH(239,'Sign-ups'!$AO$2:$AO$301,0)),"")</f>
        <v/>
      </c>
      <c r="J244" s="26">
        <f>IFERROR(INDEX('Sign-ups'!$AA$2:$AA$301,MATCH(239,'Sign-ups'!$AO$2:$AO$301,0))&amp;"","")</f>
        <v/>
      </c>
      <c r="K244" s="27">
        <f>IFERROR(INDEX('Sign-ups'!$AB$2:$AB$301,MATCH(239,'Sign-ups'!$AO$2:$AO$301,0))&amp;"","")</f>
        <v/>
      </c>
    </row>
    <row r="245">
      <c r="A245" s="26">
        <f>IF(ISNUMBER(MATCH(240,'Sign-ups'!$AO$2:$AO$301,0)),240,"")</f>
        <v/>
      </c>
      <c r="B245" s="27">
        <f>IFERROR(INDEX('Sign-ups'!$AE$2:$AE$301,MATCH(240,'Sign-ups'!$AO$2:$AO$301,0)),"")</f>
        <v/>
      </c>
      <c r="C245" s="27">
        <f>IFERROR(INDEX('Sign-ups'!$AF$2:$AF$301,MATCH(240,'Sign-ups'!$AO$2:$AO$301,0)),"")</f>
        <v/>
      </c>
      <c r="D245" s="27">
        <f>IFERROR(INDEX('Sign-ups'!$AG$2:$AG$301,MATCH(240,'Sign-ups'!$AO$2:$AO$301,0)),"")</f>
        <v/>
      </c>
      <c r="E245" s="27">
        <f>IFERROR(INDEX('Sign-ups'!$AH$2:$AH$301,MATCH(240,'Sign-ups'!$AO$2:$AO$301,0)),"")</f>
        <v/>
      </c>
      <c r="F245" s="27">
        <f>IFERROR(INDEX('Sign-ups'!$AI$2:$AI$301,MATCH(240,'Sign-ups'!$AO$2:$AO$301,0)),"")</f>
        <v/>
      </c>
      <c r="G245" s="27">
        <f>IFERROR(INDEX('Sign-ups'!$AK$2:$AK$301,MATCH(240,'Sign-ups'!$AO$2:$AO$301,0)),"")</f>
        <v/>
      </c>
      <c r="H245" s="26">
        <f>IFERROR(INDEX('Sign-ups'!$AJ$2:$AJ$301,MATCH(240,'Sign-ups'!$AO$2:$AO$301,0)),"")</f>
        <v/>
      </c>
      <c r="I245" s="26">
        <f>IFERROR(INDEX('Sign-ups'!$AN$2:$AN$301,MATCH(240,'Sign-ups'!$AO$2:$AO$301,0)),"")</f>
        <v/>
      </c>
      <c r="J245" s="26">
        <f>IFERROR(INDEX('Sign-ups'!$AA$2:$AA$301,MATCH(240,'Sign-ups'!$AO$2:$AO$301,0))&amp;"","")</f>
        <v/>
      </c>
      <c r="K245" s="27">
        <f>IFERROR(INDEX('Sign-ups'!$AB$2:$AB$301,MATCH(240,'Sign-ups'!$AO$2:$AO$301,0))&amp;"","")</f>
        <v/>
      </c>
    </row>
    <row r="246">
      <c r="A246" s="26">
        <f>IF(ISNUMBER(MATCH(241,'Sign-ups'!$AO$2:$AO$301,0)),241,"")</f>
        <v/>
      </c>
      <c r="B246" s="27">
        <f>IFERROR(INDEX('Sign-ups'!$AE$2:$AE$301,MATCH(241,'Sign-ups'!$AO$2:$AO$301,0)),"")</f>
        <v/>
      </c>
      <c r="C246" s="27">
        <f>IFERROR(INDEX('Sign-ups'!$AF$2:$AF$301,MATCH(241,'Sign-ups'!$AO$2:$AO$301,0)),"")</f>
        <v/>
      </c>
      <c r="D246" s="27">
        <f>IFERROR(INDEX('Sign-ups'!$AG$2:$AG$301,MATCH(241,'Sign-ups'!$AO$2:$AO$301,0)),"")</f>
        <v/>
      </c>
      <c r="E246" s="27">
        <f>IFERROR(INDEX('Sign-ups'!$AH$2:$AH$301,MATCH(241,'Sign-ups'!$AO$2:$AO$301,0)),"")</f>
        <v/>
      </c>
      <c r="F246" s="27">
        <f>IFERROR(INDEX('Sign-ups'!$AI$2:$AI$301,MATCH(241,'Sign-ups'!$AO$2:$AO$301,0)),"")</f>
        <v/>
      </c>
      <c r="G246" s="27">
        <f>IFERROR(INDEX('Sign-ups'!$AK$2:$AK$301,MATCH(241,'Sign-ups'!$AO$2:$AO$301,0)),"")</f>
        <v/>
      </c>
      <c r="H246" s="26">
        <f>IFERROR(INDEX('Sign-ups'!$AJ$2:$AJ$301,MATCH(241,'Sign-ups'!$AO$2:$AO$301,0)),"")</f>
        <v/>
      </c>
      <c r="I246" s="26">
        <f>IFERROR(INDEX('Sign-ups'!$AN$2:$AN$301,MATCH(241,'Sign-ups'!$AO$2:$AO$301,0)),"")</f>
        <v/>
      </c>
      <c r="J246" s="26">
        <f>IFERROR(INDEX('Sign-ups'!$AA$2:$AA$301,MATCH(241,'Sign-ups'!$AO$2:$AO$301,0))&amp;"","")</f>
        <v/>
      </c>
      <c r="K246" s="27">
        <f>IFERROR(INDEX('Sign-ups'!$AB$2:$AB$301,MATCH(241,'Sign-ups'!$AO$2:$AO$301,0))&amp;"","")</f>
        <v/>
      </c>
    </row>
    <row r="247">
      <c r="A247" s="26">
        <f>IF(ISNUMBER(MATCH(242,'Sign-ups'!$AO$2:$AO$301,0)),242,"")</f>
        <v/>
      </c>
      <c r="B247" s="27">
        <f>IFERROR(INDEX('Sign-ups'!$AE$2:$AE$301,MATCH(242,'Sign-ups'!$AO$2:$AO$301,0)),"")</f>
        <v/>
      </c>
      <c r="C247" s="27">
        <f>IFERROR(INDEX('Sign-ups'!$AF$2:$AF$301,MATCH(242,'Sign-ups'!$AO$2:$AO$301,0)),"")</f>
        <v/>
      </c>
      <c r="D247" s="27">
        <f>IFERROR(INDEX('Sign-ups'!$AG$2:$AG$301,MATCH(242,'Sign-ups'!$AO$2:$AO$301,0)),"")</f>
        <v/>
      </c>
      <c r="E247" s="27">
        <f>IFERROR(INDEX('Sign-ups'!$AH$2:$AH$301,MATCH(242,'Sign-ups'!$AO$2:$AO$301,0)),"")</f>
        <v/>
      </c>
      <c r="F247" s="27">
        <f>IFERROR(INDEX('Sign-ups'!$AI$2:$AI$301,MATCH(242,'Sign-ups'!$AO$2:$AO$301,0)),"")</f>
        <v/>
      </c>
      <c r="G247" s="27">
        <f>IFERROR(INDEX('Sign-ups'!$AK$2:$AK$301,MATCH(242,'Sign-ups'!$AO$2:$AO$301,0)),"")</f>
        <v/>
      </c>
      <c r="H247" s="26">
        <f>IFERROR(INDEX('Sign-ups'!$AJ$2:$AJ$301,MATCH(242,'Sign-ups'!$AO$2:$AO$301,0)),"")</f>
        <v/>
      </c>
      <c r="I247" s="26">
        <f>IFERROR(INDEX('Sign-ups'!$AN$2:$AN$301,MATCH(242,'Sign-ups'!$AO$2:$AO$301,0)),"")</f>
        <v/>
      </c>
      <c r="J247" s="26">
        <f>IFERROR(INDEX('Sign-ups'!$AA$2:$AA$301,MATCH(242,'Sign-ups'!$AO$2:$AO$301,0))&amp;"","")</f>
        <v/>
      </c>
      <c r="K247" s="27">
        <f>IFERROR(INDEX('Sign-ups'!$AB$2:$AB$301,MATCH(242,'Sign-ups'!$AO$2:$AO$301,0))&amp;"","")</f>
        <v/>
      </c>
    </row>
    <row r="248">
      <c r="A248" s="26">
        <f>IF(ISNUMBER(MATCH(243,'Sign-ups'!$AO$2:$AO$301,0)),243,"")</f>
        <v/>
      </c>
      <c r="B248" s="27">
        <f>IFERROR(INDEX('Sign-ups'!$AE$2:$AE$301,MATCH(243,'Sign-ups'!$AO$2:$AO$301,0)),"")</f>
        <v/>
      </c>
      <c r="C248" s="27">
        <f>IFERROR(INDEX('Sign-ups'!$AF$2:$AF$301,MATCH(243,'Sign-ups'!$AO$2:$AO$301,0)),"")</f>
        <v/>
      </c>
      <c r="D248" s="27">
        <f>IFERROR(INDEX('Sign-ups'!$AG$2:$AG$301,MATCH(243,'Sign-ups'!$AO$2:$AO$301,0)),"")</f>
        <v/>
      </c>
      <c r="E248" s="27">
        <f>IFERROR(INDEX('Sign-ups'!$AH$2:$AH$301,MATCH(243,'Sign-ups'!$AO$2:$AO$301,0)),"")</f>
        <v/>
      </c>
      <c r="F248" s="27">
        <f>IFERROR(INDEX('Sign-ups'!$AI$2:$AI$301,MATCH(243,'Sign-ups'!$AO$2:$AO$301,0)),"")</f>
        <v/>
      </c>
      <c r="G248" s="27">
        <f>IFERROR(INDEX('Sign-ups'!$AK$2:$AK$301,MATCH(243,'Sign-ups'!$AO$2:$AO$301,0)),"")</f>
        <v/>
      </c>
      <c r="H248" s="26">
        <f>IFERROR(INDEX('Sign-ups'!$AJ$2:$AJ$301,MATCH(243,'Sign-ups'!$AO$2:$AO$301,0)),"")</f>
        <v/>
      </c>
      <c r="I248" s="26">
        <f>IFERROR(INDEX('Sign-ups'!$AN$2:$AN$301,MATCH(243,'Sign-ups'!$AO$2:$AO$301,0)),"")</f>
        <v/>
      </c>
      <c r="J248" s="26">
        <f>IFERROR(INDEX('Sign-ups'!$AA$2:$AA$301,MATCH(243,'Sign-ups'!$AO$2:$AO$301,0))&amp;"","")</f>
        <v/>
      </c>
      <c r="K248" s="27">
        <f>IFERROR(INDEX('Sign-ups'!$AB$2:$AB$301,MATCH(243,'Sign-ups'!$AO$2:$AO$301,0))&amp;"","")</f>
        <v/>
      </c>
    </row>
    <row r="249">
      <c r="A249" s="26">
        <f>IF(ISNUMBER(MATCH(244,'Sign-ups'!$AO$2:$AO$301,0)),244,"")</f>
        <v/>
      </c>
      <c r="B249" s="27">
        <f>IFERROR(INDEX('Sign-ups'!$AE$2:$AE$301,MATCH(244,'Sign-ups'!$AO$2:$AO$301,0)),"")</f>
        <v/>
      </c>
      <c r="C249" s="27">
        <f>IFERROR(INDEX('Sign-ups'!$AF$2:$AF$301,MATCH(244,'Sign-ups'!$AO$2:$AO$301,0)),"")</f>
        <v/>
      </c>
      <c r="D249" s="27">
        <f>IFERROR(INDEX('Sign-ups'!$AG$2:$AG$301,MATCH(244,'Sign-ups'!$AO$2:$AO$301,0)),"")</f>
        <v/>
      </c>
      <c r="E249" s="27">
        <f>IFERROR(INDEX('Sign-ups'!$AH$2:$AH$301,MATCH(244,'Sign-ups'!$AO$2:$AO$301,0)),"")</f>
        <v/>
      </c>
      <c r="F249" s="27">
        <f>IFERROR(INDEX('Sign-ups'!$AI$2:$AI$301,MATCH(244,'Sign-ups'!$AO$2:$AO$301,0)),"")</f>
        <v/>
      </c>
      <c r="G249" s="27">
        <f>IFERROR(INDEX('Sign-ups'!$AK$2:$AK$301,MATCH(244,'Sign-ups'!$AO$2:$AO$301,0)),"")</f>
        <v/>
      </c>
      <c r="H249" s="26">
        <f>IFERROR(INDEX('Sign-ups'!$AJ$2:$AJ$301,MATCH(244,'Sign-ups'!$AO$2:$AO$301,0)),"")</f>
        <v/>
      </c>
      <c r="I249" s="26">
        <f>IFERROR(INDEX('Sign-ups'!$AN$2:$AN$301,MATCH(244,'Sign-ups'!$AO$2:$AO$301,0)),"")</f>
        <v/>
      </c>
      <c r="J249" s="26">
        <f>IFERROR(INDEX('Sign-ups'!$AA$2:$AA$301,MATCH(244,'Sign-ups'!$AO$2:$AO$301,0))&amp;"","")</f>
        <v/>
      </c>
      <c r="K249" s="27">
        <f>IFERROR(INDEX('Sign-ups'!$AB$2:$AB$301,MATCH(244,'Sign-ups'!$AO$2:$AO$301,0))&amp;"","")</f>
        <v/>
      </c>
    </row>
    <row r="250">
      <c r="A250" s="26">
        <f>IF(ISNUMBER(MATCH(245,'Sign-ups'!$AO$2:$AO$301,0)),245,"")</f>
        <v/>
      </c>
      <c r="B250" s="27">
        <f>IFERROR(INDEX('Sign-ups'!$AE$2:$AE$301,MATCH(245,'Sign-ups'!$AO$2:$AO$301,0)),"")</f>
        <v/>
      </c>
      <c r="C250" s="27">
        <f>IFERROR(INDEX('Sign-ups'!$AF$2:$AF$301,MATCH(245,'Sign-ups'!$AO$2:$AO$301,0)),"")</f>
        <v/>
      </c>
      <c r="D250" s="27">
        <f>IFERROR(INDEX('Sign-ups'!$AG$2:$AG$301,MATCH(245,'Sign-ups'!$AO$2:$AO$301,0)),"")</f>
        <v/>
      </c>
      <c r="E250" s="27">
        <f>IFERROR(INDEX('Sign-ups'!$AH$2:$AH$301,MATCH(245,'Sign-ups'!$AO$2:$AO$301,0)),"")</f>
        <v/>
      </c>
      <c r="F250" s="27">
        <f>IFERROR(INDEX('Sign-ups'!$AI$2:$AI$301,MATCH(245,'Sign-ups'!$AO$2:$AO$301,0)),"")</f>
        <v/>
      </c>
      <c r="G250" s="27">
        <f>IFERROR(INDEX('Sign-ups'!$AK$2:$AK$301,MATCH(245,'Sign-ups'!$AO$2:$AO$301,0)),"")</f>
        <v/>
      </c>
      <c r="H250" s="26">
        <f>IFERROR(INDEX('Sign-ups'!$AJ$2:$AJ$301,MATCH(245,'Sign-ups'!$AO$2:$AO$301,0)),"")</f>
        <v/>
      </c>
      <c r="I250" s="26">
        <f>IFERROR(INDEX('Sign-ups'!$AN$2:$AN$301,MATCH(245,'Sign-ups'!$AO$2:$AO$301,0)),"")</f>
        <v/>
      </c>
      <c r="J250" s="26">
        <f>IFERROR(INDEX('Sign-ups'!$AA$2:$AA$301,MATCH(245,'Sign-ups'!$AO$2:$AO$301,0))&amp;"","")</f>
        <v/>
      </c>
      <c r="K250" s="27">
        <f>IFERROR(INDEX('Sign-ups'!$AB$2:$AB$301,MATCH(245,'Sign-ups'!$AO$2:$AO$301,0))&amp;"","")</f>
        <v/>
      </c>
    </row>
    <row r="251">
      <c r="A251" s="26">
        <f>IF(ISNUMBER(MATCH(246,'Sign-ups'!$AO$2:$AO$301,0)),246,"")</f>
        <v/>
      </c>
      <c r="B251" s="27">
        <f>IFERROR(INDEX('Sign-ups'!$AE$2:$AE$301,MATCH(246,'Sign-ups'!$AO$2:$AO$301,0)),"")</f>
        <v/>
      </c>
      <c r="C251" s="27">
        <f>IFERROR(INDEX('Sign-ups'!$AF$2:$AF$301,MATCH(246,'Sign-ups'!$AO$2:$AO$301,0)),"")</f>
        <v/>
      </c>
      <c r="D251" s="27">
        <f>IFERROR(INDEX('Sign-ups'!$AG$2:$AG$301,MATCH(246,'Sign-ups'!$AO$2:$AO$301,0)),"")</f>
        <v/>
      </c>
      <c r="E251" s="27">
        <f>IFERROR(INDEX('Sign-ups'!$AH$2:$AH$301,MATCH(246,'Sign-ups'!$AO$2:$AO$301,0)),"")</f>
        <v/>
      </c>
      <c r="F251" s="27">
        <f>IFERROR(INDEX('Sign-ups'!$AI$2:$AI$301,MATCH(246,'Sign-ups'!$AO$2:$AO$301,0)),"")</f>
        <v/>
      </c>
      <c r="G251" s="27">
        <f>IFERROR(INDEX('Sign-ups'!$AK$2:$AK$301,MATCH(246,'Sign-ups'!$AO$2:$AO$301,0)),"")</f>
        <v/>
      </c>
      <c r="H251" s="26">
        <f>IFERROR(INDEX('Sign-ups'!$AJ$2:$AJ$301,MATCH(246,'Sign-ups'!$AO$2:$AO$301,0)),"")</f>
        <v/>
      </c>
      <c r="I251" s="26">
        <f>IFERROR(INDEX('Sign-ups'!$AN$2:$AN$301,MATCH(246,'Sign-ups'!$AO$2:$AO$301,0)),"")</f>
        <v/>
      </c>
      <c r="J251" s="26">
        <f>IFERROR(INDEX('Sign-ups'!$AA$2:$AA$301,MATCH(246,'Sign-ups'!$AO$2:$AO$301,0))&amp;"","")</f>
        <v/>
      </c>
      <c r="K251" s="27">
        <f>IFERROR(INDEX('Sign-ups'!$AB$2:$AB$301,MATCH(246,'Sign-ups'!$AO$2:$AO$301,0))&amp;"","")</f>
        <v/>
      </c>
    </row>
    <row r="252">
      <c r="A252" s="26">
        <f>IF(ISNUMBER(MATCH(247,'Sign-ups'!$AO$2:$AO$301,0)),247,"")</f>
        <v/>
      </c>
      <c r="B252" s="27">
        <f>IFERROR(INDEX('Sign-ups'!$AE$2:$AE$301,MATCH(247,'Sign-ups'!$AO$2:$AO$301,0)),"")</f>
        <v/>
      </c>
      <c r="C252" s="27">
        <f>IFERROR(INDEX('Sign-ups'!$AF$2:$AF$301,MATCH(247,'Sign-ups'!$AO$2:$AO$301,0)),"")</f>
        <v/>
      </c>
      <c r="D252" s="27">
        <f>IFERROR(INDEX('Sign-ups'!$AG$2:$AG$301,MATCH(247,'Sign-ups'!$AO$2:$AO$301,0)),"")</f>
        <v/>
      </c>
      <c r="E252" s="27">
        <f>IFERROR(INDEX('Sign-ups'!$AH$2:$AH$301,MATCH(247,'Sign-ups'!$AO$2:$AO$301,0)),"")</f>
        <v/>
      </c>
      <c r="F252" s="27">
        <f>IFERROR(INDEX('Sign-ups'!$AI$2:$AI$301,MATCH(247,'Sign-ups'!$AO$2:$AO$301,0)),"")</f>
        <v/>
      </c>
      <c r="G252" s="27">
        <f>IFERROR(INDEX('Sign-ups'!$AK$2:$AK$301,MATCH(247,'Sign-ups'!$AO$2:$AO$301,0)),"")</f>
        <v/>
      </c>
      <c r="H252" s="26">
        <f>IFERROR(INDEX('Sign-ups'!$AJ$2:$AJ$301,MATCH(247,'Sign-ups'!$AO$2:$AO$301,0)),"")</f>
        <v/>
      </c>
      <c r="I252" s="26">
        <f>IFERROR(INDEX('Sign-ups'!$AN$2:$AN$301,MATCH(247,'Sign-ups'!$AO$2:$AO$301,0)),"")</f>
        <v/>
      </c>
      <c r="J252" s="26">
        <f>IFERROR(INDEX('Sign-ups'!$AA$2:$AA$301,MATCH(247,'Sign-ups'!$AO$2:$AO$301,0))&amp;"","")</f>
        <v/>
      </c>
      <c r="K252" s="27">
        <f>IFERROR(INDEX('Sign-ups'!$AB$2:$AB$301,MATCH(247,'Sign-ups'!$AO$2:$AO$301,0))&amp;"","")</f>
        <v/>
      </c>
    </row>
    <row r="253">
      <c r="A253" s="26">
        <f>IF(ISNUMBER(MATCH(248,'Sign-ups'!$AO$2:$AO$301,0)),248,"")</f>
        <v/>
      </c>
      <c r="B253" s="27">
        <f>IFERROR(INDEX('Sign-ups'!$AE$2:$AE$301,MATCH(248,'Sign-ups'!$AO$2:$AO$301,0)),"")</f>
        <v/>
      </c>
      <c r="C253" s="27">
        <f>IFERROR(INDEX('Sign-ups'!$AF$2:$AF$301,MATCH(248,'Sign-ups'!$AO$2:$AO$301,0)),"")</f>
        <v/>
      </c>
      <c r="D253" s="27">
        <f>IFERROR(INDEX('Sign-ups'!$AG$2:$AG$301,MATCH(248,'Sign-ups'!$AO$2:$AO$301,0)),"")</f>
        <v/>
      </c>
      <c r="E253" s="27">
        <f>IFERROR(INDEX('Sign-ups'!$AH$2:$AH$301,MATCH(248,'Sign-ups'!$AO$2:$AO$301,0)),"")</f>
        <v/>
      </c>
      <c r="F253" s="27">
        <f>IFERROR(INDEX('Sign-ups'!$AI$2:$AI$301,MATCH(248,'Sign-ups'!$AO$2:$AO$301,0)),"")</f>
        <v/>
      </c>
      <c r="G253" s="27">
        <f>IFERROR(INDEX('Sign-ups'!$AK$2:$AK$301,MATCH(248,'Sign-ups'!$AO$2:$AO$301,0)),"")</f>
        <v/>
      </c>
      <c r="H253" s="26">
        <f>IFERROR(INDEX('Sign-ups'!$AJ$2:$AJ$301,MATCH(248,'Sign-ups'!$AO$2:$AO$301,0)),"")</f>
        <v/>
      </c>
      <c r="I253" s="26">
        <f>IFERROR(INDEX('Sign-ups'!$AN$2:$AN$301,MATCH(248,'Sign-ups'!$AO$2:$AO$301,0)),"")</f>
        <v/>
      </c>
      <c r="J253" s="26">
        <f>IFERROR(INDEX('Sign-ups'!$AA$2:$AA$301,MATCH(248,'Sign-ups'!$AO$2:$AO$301,0))&amp;"","")</f>
        <v/>
      </c>
      <c r="K253" s="27">
        <f>IFERROR(INDEX('Sign-ups'!$AB$2:$AB$301,MATCH(248,'Sign-ups'!$AO$2:$AO$301,0))&amp;"","")</f>
        <v/>
      </c>
    </row>
    <row r="254">
      <c r="A254" s="26">
        <f>IF(ISNUMBER(MATCH(249,'Sign-ups'!$AO$2:$AO$301,0)),249,"")</f>
        <v/>
      </c>
      <c r="B254" s="27">
        <f>IFERROR(INDEX('Sign-ups'!$AE$2:$AE$301,MATCH(249,'Sign-ups'!$AO$2:$AO$301,0)),"")</f>
        <v/>
      </c>
      <c r="C254" s="27">
        <f>IFERROR(INDEX('Sign-ups'!$AF$2:$AF$301,MATCH(249,'Sign-ups'!$AO$2:$AO$301,0)),"")</f>
        <v/>
      </c>
      <c r="D254" s="27">
        <f>IFERROR(INDEX('Sign-ups'!$AG$2:$AG$301,MATCH(249,'Sign-ups'!$AO$2:$AO$301,0)),"")</f>
        <v/>
      </c>
      <c r="E254" s="27">
        <f>IFERROR(INDEX('Sign-ups'!$AH$2:$AH$301,MATCH(249,'Sign-ups'!$AO$2:$AO$301,0)),"")</f>
        <v/>
      </c>
      <c r="F254" s="27">
        <f>IFERROR(INDEX('Sign-ups'!$AI$2:$AI$301,MATCH(249,'Sign-ups'!$AO$2:$AO$301,0)),"")</f>
        <v/>
      </c>
      <c r="G254" s="27">
        <f>IFERROR(INDEX('Sign-ups'!$AK$2:$AK$301,MATCH(249,'Sign-ups'!$AO$2:$AO$301,0)),"")</f>
        <v/>
      </c>
      <c r="H254" s="26">
        <f>IFERROR(INDEX('Sign-ups'!$AJ$2:$AJ$301,MATCH(249,'Sign-ups'!$AO$2:$AO$301,0)),"")</f>
        <v/>
      </c>
      <c r="I254" s="26">
        <f>IFERROR(INDEX('Sign-ups'!$AN$2:$AN$301,MATCH(249,'Sign-ups'!$AO$2:$AO$301,0)),"")</f>
        <v/>
      </c>
      <c r="J254" s="26">
        <f>IFERROR(INDEX('Sign-ups'!$AA$2:$AA$301,MATCH(249,'Sign-ups'!$AO$2:$AO$301,0))&amp;"","")</f>
        <v/>
      </c>
      <c r="K254" s="27">
        <f>IFERROR(INDEX('Sign-ups'!$AB$2:$AB$301,MATCH(249,'Sign-ups'!$AO$2:$AO$301,0))&amp;"","")</f>
        <v/>
      </c>
    </row>
    <row r="255">
      <c r="A255" s="26">
        <f>IF(ISNUMBER(MATCH(250,'Sign-ups'!$AO$2:$AO$301,0)),250,"")</f>
        <v/>
      </c>
      <c r="B255" s="27">
        <f>IFERROR(INDEX('Sign-ups'!$AE$2:$AE$301,MATCH(250,'Sign-ups'!$AO$2:$AO$301,0)),"")</f>
        <v/>
      </c>
      <c r="C255" s="27">
        <f>IFERROR(INDEX('Sign-ups'!$AF$2:$AF$301,MATCH(250,'Sign-ups'!$AO$2:$AO$301,0)),"")</f>
        <v/>
      </c>
      <c r="D255" s="27">
        <f>IFERROR(INDEX('Sign-ups'!$AG$2:$AG$301,MATCH(250,'Sign-ups'!$AO$2:$AO$301,0)),"")</f>
        <v/>
      </c>
      <c r="E255" s="27">
        <f>IFERROR(INDEX('Sign-ups'!$AH$2:$AH$301,MATCH(250,'Sign-ups'!$AO$2:$AO$301,0)),"")</f>
        <v/>
      </c>
      <c r="F255" s="27">
        <f>IFERROR(INDEX('Sign-ups'!$AI$2:$AI$301,MATCH(250,'Sign-ups'!$AO$2:$AO$301,0)),"")</f>
        <v/>
      </c>
      <c r="G255" s="27">
        <f>IFERROR(INDEX('Sign-ups'!$AK$2:$AK$301,MATCH(250,'Sign-ups'!$AO$2:$AO$301,0)),"")</f>
        <v/>
      </c>
      <c r="H255" s="26">
        <f>IFERROR(INDEX('Sign-ups'!$AJ$2:$AJ$301,MATCH(250,'Sign-ups'!$AO$2:$AO$301,0)),"")</f>
        <v/>
      </c>
      <c r="I255" s="26">
        <f>IFERROR(INDEX('Sign-ups'!$AN$2:$AN$301,MATCH(250,'Sign-ups'!$AO$2:$AO$301,0)),"")</f>
        <v/>
      </c>
      <c r="J255" s="26">
        <f>IFERROR(INDEX('Sign-ups'!$AA$2:$AA$301,MATCH(250,'Sign-ups'!$AO$2:$AO$301,0))&amp;"","")</f>
        <v/>
      </c>
      <c r="K255" s="27">
        <f>IFERROR(INDEX('Sign-ups'!$AB$2:$AB$301,MATCH(250,'Sign-ups'!$AO$2:$AO$301,0))&amp;"","")</f>
        <v/>
      </c>
    </row>
    <row r="256">
      <c r="A256" s="26">
        <f>IF(ISNUMBER(MATCH(251,'Sign-ups'!$AO$2:$AO$301,0)),251,"")</f>
        <v/>
      </c>
      <c r="B256" s="27">
        <f>IFERROR(INDEX('Sign-ups'!$AE$2:$AE$301,MATCH(251,'Sign-ups'!$AO$2:$AO$301,0)),"")</f>
        <v/>
      </c>
      <c r="C256" s="27">
        <f>IFERROR(INDEX('Sign-ups'!$AF$2:$AF$301,MATCH(251,'Sign-ups'!$AO$2:$AO$301,0)),"")</f>
        <v/>
      </c>
      <c r="D256" s="27">
        <f>IFERROR(INDEX('Sign-ups'!$AG$2:$AG$301,MATCH(251,'Sign-ups'!$AO$2:$AO$301,0)),"")</f>
        <v/>
      </c>
      <c r="E256" s="27">
        <f>IFERROR(INDEX('Sign-ups'!$AH$2:$AH$301,MATCH(251,'Sign-ups'!$AO$2:$AO$301,0)),"")</f>
        <v/>
      </c>
      <c r="F256" s="27">
        <f>IFERROR(INDEX('Sign-ups'!$AI$2:$AI$301,MATCH(251,'Sign-ups'!$AO$2:$AO$301,0)),"")</f>
        <v/>
      </c>
      <c r="G256" s="27">
        <f>IFERROR(INDEX('Sign-ups'!$AK$2:$AK$301,MATCH(251,'Sign-ups'!$AO$2:$AO$301,0)),"")</f>
        <v/>
      </c>
      <c r="H256" s="26">
        <f>IFERROR(INDEX('Sign-ups'!$AJ$2:$AJ$301,MATCH(251,'Sign-ups'!$AO$2:$AO$301,0)),"")</f>
        <v/>
      </c>
      <c r="I256" s="26">
        <f>IFERROR(INDEX('Sign-ups'!$AN$2:$AN$301,MATCH(251,'Sign-ups'!$AO$2:$AO$301,0)),"")</f>
        <v/>
      </c>
      <c r="J256" s="26">
        <f>IFERROR(INDEX('Sign-ups'!$AA$2:$AA$301,MATCH(251,'Sign-ups'!$AO$2:$AO$301,0))&amp;"","")</f>
        <v/>
      </c>
      <c r="K256" s="27">
        <f>IFERROR(INDEX('Sign-ups'!$AB$2:$AB$301,MATCH(251,'Sign-ups'!$AO$2:$AO$301,0))&amp;"","")</f>
        <v/>
      </c>
    </row>
    <row r="257">
      <c r="A257" s="26">
        <f>IF(ISNUMBER(MATCH(252,'Sign-ups'!$AO$2:$AO$301,0)),252,"")</f>
        <v/>
      </c>
      <c r="B257" s="27">
        <f>IFERROR(INDEX('Sign-ups'!$AE$2:$AE$301,MATCH(252,'Sign-ups'!$AO$2:$AO$301,0)),"")</f>
        <v/>
      </c>
      <c r="C257" s="27">
        <f>IFERROR(INDEX('Sign-ups'!$AF$2:$AF$301,MATCH(252,'Sign-ups'!$AO$2:$AO$301,0)),"")</f>
        <v/>
      </c>
      <c r="D257" s="27">
        <f>IFERROR(INDEX('Sign-ups'!$AG$2:$AG$301,MATCH(252,'Sign-ups'!$AO$2:$AO$301,0)),"")</f>
        <v/>
      </c>
      <c r="E257" s="27">
        <f>IFERROR(INDEX('Sign-ups'!$AH$2:$AH$301,MATCH(252,'Sign-ups'!$AO$2:$AO$301,0)),"")</f>
        <v/>
      </c>
      <c r="F257" s="27">
        <f>IFERROR(INDEX('Sign-ups'!$AI$2:$AI$301,MATCH(252,'Sign-ups'!$AO$2:$AO$301,0)),"")</f>
        <v/>
      </c>
      <c r="G257" s="27">
        <f>IFERROR(INDEX('Sign-ups'!$AK$2:$AK$301,MATCH(252,'Sign-ups'!$AO$2:$AO$301,0)),"")</f>
        <v/>
      </c>
      <c r="H257" s="26">
        <f>IFERROR(INDEX('Sign-ups'!$AJ$2:$AJ$301,MATCH(252,'Sign-ups'!$AO$2:$AO$301,0)),"")</f>
        <v/>
      </c>
      <c r="I257" s="26">
        <f>IFERROR(INDEX('Sign-ups'!$AN$2:$AN$301,MATCH(252,'Sign-ups'!$AO$2:$AO$301,0)),"")</f>
        <v/>
      </c>
      <c r="J257" s="26">
        <f>IFERROR(INDEX('Sign-ups'!$AA$2:$AA$301,MATCH(252,'Sign-ups'!$AO$2:$AO$301,0))&amp;"","")</f>
        <v/>
      </c>
      <c r="K257" s="27">
        <f>IFERROR(INDEX('Sign-ups'!$AB$2:$AB$301,MATCH(252,'Sign-ups'!$AO$2:$AO$301,0))&amp;"","")</f>
        <v/>
      </c>
    </row>
    <row r="258">
      <c r="A258" s="26">
        <f>IF(ISNUMBER(MATCH(253,'Sign-ups'!$AO$2:$AO$301,0)),253,"")</f>
        <v/>
      </c>
      <c r="B258" s="27">
        <f>IFERROR(INDEX('Sign-ups'!$AE$2:$AE$301,MATCH(253,'Sign-ups'!$AO$2:$AO$301,0)),"")</f>
        <v/>
      </c>
      <c r="C258" s="27">
        <f>IFERROR(INDEX('Sign-ups'!$AF$2:$AF$301,MATCH(253,'Sign-ups'!$AO$2:$AO$301,0)),"")</f>
        <v/>
      </c>
      <c r="D258" s="27">
        <f>IFERROR(INDEX('Sign-ups'!$AG$2:$AG$301,MATCH(253,'Sign-ups'!$AO$2:$AO$301,0)),"")</f>
        <v/>
      </c>
      <c r="E258" s="27">
        <f>IFERROR(INDEX('Sign-ups'!$AH$2:$AH$301,MATCH(253,'Sign-ups'!$AO$2:$AO$301,0)),"")</f>
        <v/>
      </c>
      <c r="F258" s="27">
        <f>IFERROR(INDEX('Sign-ups'!$AI$2:$AI$301,MATCH(253,'Sign-ups'!$AO$2:$AO$301,0)),"")</f>
        <v/>
      </c>
      <c r="G258" s="27">
        <f>IFERROR(INDEX('Sign-ups'!$AK$2:$AK$301,MATCH(253,'Sign-ups'!$AO$2:$AO$301,0)),"")</f>
        <v/>
      </c>
      <c r="H258" s="26">
        <f>IFERROR(INDEX('Sign-ups'!$AJ$2:$AJ$301,MATCH(253,'Sign-ups'!$AO$2:$AO$301,0)),"")</f>
        <v/>
      </c>
      <c r="I258" s="26">
        <f>IFERROR(INDEX('Sign-ups'!$AN$2:$AN$301,MATCH(253,'Sign-ups'!$AO$2:$AO$301,0)),"")</f>
        <v/>
      </c>
      <c r="J258" s="26">
        <f>IFERROR(INDEX('Sign-ups'!$AA$2:$AA$301,MATCH(253,'Sign-ups'!$AO$2:$AO$301,0))&amp;"","")</f>
        <v/>
      </c>
      <c r="K258" s="27">
        <f>IFERROR(INDEX('Sign-ups'!$AB$2:$AB$301,MATCH(253,'Sign-ups'!$AO$2:$AO$301,0))&amp;"","")</f>
        <v/>
      </c>
    </row>
    <row r="259">
      <c r="A259" s="26">
        <f>IF(ISNUMBER(MATCH(254,'Sign-ups'!$AO$2:$AO$301,0)),254,"")</f>
        <v/>
      </c>
      <c r="B259" s="27">
        <f>IFERROR(INDEX('Sign-ups'!$AE$2:$AE$301,MATCH(254,'Sign-ups'!$AO$2:$AO$301,0)),"")</f>
        <v/>
      </c>
      <c r="C259" s="27">
        <f>IFERROR(INDEX('Sign-ups'!$AF$2:$AF$301,MATCH(254,'Sign-ups'!$AO$2:$AO$301,0)),"")</f>
        <v/>
      </c>
      <c r="D259" s="27">
        <f>IFERROR(INDEX('Sign-ups'!$AG$2:$AG$301,MATCH(254,'Sign-ups'!$AO$2:$AO$301,0)),"")</f>
        <v/>
      </c>
      <c r="E259" s="27">
        <f>IFERROR(INDEX('Sign-ups'!$AH$2:$AH$301,MATCH(254,'Sign-ups'!$AO$2:$AO$301,0)),"")</f>
        <v/>
      </c>
      <c r="F259" s="27">
        <f>IFERROR(INDEX('Sign-ups'!$AI$2:$AI$301,MATCH(254,'Sign-ups'!$AO$2:$AO$301,0)),"")</f>
        <v/>
      </c>
      <c r="G259" s="27">
        <f>IFERROR(INDEX('Sign-ups'!$AK$2:$AK$301,MATCH(254,'Sign-ups'!$AO$2:$AO$301,0)),"")</f>
        <v/>
      </c>
      <c r="H259" s="26">
        <f>IFERROR(INDEX('Sign-ups'!$AJ$2:$AJ$301,MATCH(254,'Sign-ups'!$AO$2:$AO$301,0)),"")</f>
        <v/>
      </c>
      <c r="I259" s="26">
        <f>IFERROR(INDEX('Sign-ups'!$AN$2:$AN$301,MATCH(254,'Sign-ups'!$AO$2:$AO$301,0)),"")</f>
        <v/>
      </c>
      <c r="J259" s="26">
        <f>IFERROR(INDEX('Sign-ups'!$AA$2:$AA$301,MATCH(254,'Sign-ups'!$AO$2:$AO$301,0))&amp;"","")</f>
        <v/>
      </c>
      <c r="K259" s="27">
        <f>IFERROR(INDEX('Sign-ups'!$AB$2:$AB$301,MATCH(254,'Sign-ups'!$AO$2:$AO$301,0))&amp;"","")</f>
        <v/>
      </c>
    </row>
    <row r="260">
      <c r="A260" s="26">
        <f>IF(ISNUMBER(MATCH(255,'Sign-ups'!$AO$2:$AO$301,0)),255,"")</f>
        <v/>
      </c>
      <c r="B260" s="27">
        <f>IFERROR(INDEX('Sign-ups'!$AE$2:$AE$301,MATCH(255,'Sign-ups'!$AO$2:$AO$301,0)),"")</f>
        <v/>
      </c>
      <c r="C260" s="27">
        <f>IFERROR(INDEX('Sign-ups'!$AF$2:$AF$301,MATCH(255,'Sign-ups'!$AO$2:$AO$301,0)),"")</f>
        <v/>
      </c>
      <c r="D260" s="27">
        <f>IFERROR(INDEX('Sign-ups'!$AG$2:$AG$301,MATCH(255,'Sign-ups'!$AO$2:$AO$301,0)),"")</f>
        <v/>
      </c>
      <c r="E260" s="27">
        <f>IFERROR(INDEX('Sign-ups'!$AH$2:$AH$301,MATCH(255,'Sign-ups'!$AO$2:$AO$301,0)),"")</f>
        <v/>
      </c>
      <c r="F260" s="27">
        <f>IFERROR(INDEX('Sign-ups'!$AI$2:$AI$301,MATCH(255,'Sign-ups'!$AO$2:$AO$301,0)),"")</f>
        <v/>
      </c>
      <c r="G260" s="27">
        <f>IFERROR(INDEX('Sign-ups'!$AK$2:$AK$301,MATCH(255,'Sign-ups'!$AO$2:$AO$301,0)),"")</f>
        <v/>
      </c>
      <c r="H260" s="26">
        <f>IFERROR(INDEX('Sign-ups'!$AJ$2:$AJ$301,MATCH(255,'Sign-ups'!$AO$2:$AO$301,0)),"")</f>
        <v/>
      </c>
      <c r="I260" s="26">
        <f>IFERROR(INDEX('Sign-ups'!$AN$2:$AN$301,MATCH(255,'Sign-ups'!$AO$2:$AO$301,0)),"")</f>
        <v/>
      </c>
      <c r="J260" s="26">
        <f>IFERROR(INDEX('Sign-ups'!$AA$2:$AA$301,MATCH(255,'Sign-ups'!$AO$2:$AO$301,0))&amp;"","")</f>
        <v/>
      </c>
      <c r="K260" s="27">
        <f>IFERROR(INDEX('Sign-ups'!$AB$2:$AB$301,MATCH(255,'Sign-ups'!$AO$2:$AO$301,0))&amp;"","")</f>
        <v/>
      </c>
    </row>
    <row r="261">
      <c r="A261" s="26">
        <f>IF(ISNUMBER(MATCH(256,'Sign-ups'!$AO$2:$AO$301,0)),256,"")</f>
        <v/>
      </c>
      <c r="B261" s="27">
        <f>IFERROR(INDEX('Sign-ups'!$AE$2:$AE$301,MATCH(256,'Sign-ups'!$AO$2:$AO$301,0)),"")</f>
        <v/>
      </c>
      <c r="C261" s="27">
        <f>IFERROR(INDEX('Sign-ups'!$AF$2:$AF$301,MATCH(256,'Sign-ups'!$AO$2:$AO$301,0)),"")</f>
        <v/>
      </c>
      <c r="D261" s="27">
        <f>IFERROR(INDEX('Sign-ups'!$AG$2:$AG$301,MATCH(256,'Sign-ups'!$AO$2:$AO$301,0)),"")</f>
        <v/>
      </c>
      <c r="E261" s="27">
        <f>IFERROR(INDEX('Sign-ups'!$AH$2:$AH$301,MATCH(256,'Sign-ups'!$AO$2:$AO$301,0)),"")</f>
        <v/>
      </c>
      <c r="F261" s="27">
        <f>IFERROR(INDEX('Sign-ups'!$AI$2:$AI$301,MATCH(256,'Sign-ups'!$AO$2:$AO$301,0)),"")</f>
        <v/>
      </c>
      <c r="G261" s="27">
        <f>IFERROR(INDEX('Sign-ups'!$AK$2:$AK$301,MATCH(256,'Sign-ups'!$AO$2:$AO$301,0)),"")</f>
        <v/>
      </c>
      <c r="H261" s="26">
        <f>IFERROR(INDEX('Sign-ups'!$AJ$2:$AJ$301,MATCH(256,'Sign-ups'!$AO$2:$AO$301,0)),"")</f>
        <v/>
      </c>
      <c r="I261" s="26">
        <f>IFERROR(INDEX('Sign-ups'!$AN$2:$AN$301,MATCH(256,'Sign-ups'!$AO$2:$AO$301,0)),"")</f>
        <v/>
      </c>
      <c r="J261" s="26">
        <f>IFERROR(INDEX('Sign-ups'!$AA$2:$AA$301,MATCH(256,'Sign-ups'!$AO$2:$AO$301,0))&amp;"","")</f>
        <v/>
      </c>
      <c r="K261" s="27">
        <f>IFERROR(INDEX('Sign-ups'!$AB$2:$AB$301,MATCH(256,'Sign-ups'!$AO$2:$AO$301,0))&amp;"","")</f>
        <v/>
      </c>
    </row>
    <row r="262">
      <c r="A262" s="26">
        <f>IF(ISNUMBER(MATCH(257,'Sign-ups'!$AO$2:$AO$301,0)),257,"")</f>
        <v/>
      </c>
      <c r="B262" s="27">
        <f>IFERROR(INDEX('Sign-ups'!$AE$2:$AE$301,MATCH(257,'Sign-ups'!$AO$2:$AO$301,0)),"")</f>
        <v/>
      </c>
      <c r="C262" s="27">
        <f>IFERROR(INDEX('Sign-ups'!$AF$2:$AF$301,MATCH(257,'Sign-ups'!$AO$2:$AO$301,0)),"")</f>
        <v/>
      </c>
      <c r="D262" s="27">
        <f>IFERROR(INDEX('Sign-ups'!$AG$2:$AG$301,MATCH(257,'Sign-ups'!$AO$2:$AO$301,0)),"")</f>
        <v/>
      </c>
      <c r="E262" s="27">
        <f>IFERROR(INDEX('Sign-ups'!$AH$2:$AH$301,MATCH(257,'Sign-ups'!$AO$2:$AO$301,0)),"")</f>
        <v/>
      </c>
      <c r="F262" s="27">
        <f>IFERROR(INDEX('Sign-ups'!$AI$2:$AI$301,MATCH(257,'Sign-ups'!$AO$2:$AO$301,0)),"")</f>
        <v/>
      </c>
      <c r="G262" s="27">
        <f>IFERROR(INDEX('Sign-ups'!$AK$2:$AK$301,MATCH(257,'Sign-ups'!$AO$2:$AO$301,0)),"")</f>
        <v/>
      </c>
      <c r="H262" s="26">
        <f>IFERROR(INDEX('Sign-ups'!$AJ$2:$AJ$301,MATCH(257,'Sign-ups'!$AO$2:$AO$301,0)),"")</f>
        <v/>
      </c>
      <c r="I262" s="26">
        <f>IFERROR(INDEX('Sign-ups'!$AN$2:$AN$301,MATCH(257,'Sign-ups'!$AO$2:$AO$301,0)),"")</f>
        <v/>
      </c>
      <c r="J262" s="26">
        <f>IFERROR(INDEX('Sign-ups'!$AA$2:$AA$301,MATCH(257,'Sign-ups'!$AO$2:$AO$301,0))&amp;"","")</f>
        <v/>
      </c>
      <c r="K262" s="27">
        <f>IFERROR(INDEX('Sign-ups'!$AB$2:$AB$301,MATCH(257,'Sign-ups'!$AO$2:$AO$301,0))&amp;"","")</f>
        <v/>
      </c>
    </row>
    <row r="263">
      <c r="A263" s="26">
        <f>IF(ISNUMBER(MATCH(258,'Sign-ups'!$AO$2:$AO$301,0)),258,"")</f>
        <v/>
      </c>
      <c r="B263" s="27">
        <f>IFERROR(INDEX('Sign-ups'!$AE$2:$AE$301,MATCH(258,'Sign-ups'!$AO$2:$AO$301,0)),"")</f>
        <v/>
      </c>
      <c r="C263" s="27">
        <f>IFERROR(INDEX('Sign-ups'!$AF$2:$AF$301,MATCH(258,'Sign-ups'!$AO$2:$AO$301,0)),"")</f>
        <v/>
      </c>
      <c r="D263" s="27">
        <f>IFERROR(INDEX('Sign-ups'!$AG$2:$AG$301,MATCH(258,'Sign-ups'!$AO$2:$AO$301,0)),"")</f>
        <v/>
      </c>
      <c r="E263" s="27">
        <f>IFERROR(INDEX('Sign-ups'!$AH$2:$AH$301,MATCH(258,'Sign-ups'!$AO$2:$AO$301,0)),"")</f>
        <v/>
      </c>
      <c r="F263" s="27">
        <f>IFERROR(INDEX('Sign-ups'!$AI$2:$AI$301,MATCH(258,'Sign-ups'!$AO$2:$AO$301,0)),"")</f>
        <v/>
      </c>
      <c r="G263" s="27">
        <f>IFERROR(INDEX('Sign-ups'!$AK$2:$AK$301,MATCH(258,'Sign-ups'!$AO$2:$AO$301,0)),"")</f>
        <v/>
      </c>
      <c r="H263" s="26">
        <f>IFERROR(INDEX('Sign-ups'!$AJ$2:$AJ$301,MATCH(258,'Sign-ups'!$AO$2:$AO$301,0)),"")</f>
        <v/>
      </c>
      <c r="I263" s="26">
        <f>IFERROR(INDEX('Sign-ups'!$AN$2:$AN$301,MATCH(258,'Sign-ups'!$AO$2:$AO$301,0)),"")</f>
        <v/>
      </c>
      <c r="J263" s="26">
        <f>IFERROR(INDEX('Sign-ups'!$AA$2:$AA$301,MATCH(258,'Sign-ups'!$AO$2:$AO$301,0))&amp;"","")</f>
        <v/>
      </c>
      <c r="K263" s="27">
        <f>IFERROR(INDEX('Sign-ups'!$AB$2:$AB$301,MATCH(258,'Sign-ups'!$AO$2:$AO$301,0))&amp;"","")</f>
        <v/>
      </c>
    </row>
    <row r="264">
      <c r="A264" s="26">
        <f>IF(ISNUMBER(MATCH(259,'Sign-ups'!$AO$2:$AO$301,0)),259,"")</f>
        <v/>
      </c>
      <c r="B264" s="27">
        <f>IFERROR(INDEX('Sign-ups'!$AE$2:$AE$301,MATCH(259,'Sign-ups'!$AO$2:$AO$301,0)),"")</f>
        <v/>
      </c>
      <c r="C264" s="27">
        <f>IFERROR(INDEX('Sign-ups'!$AF$2:$AF$301,MATCH(259,'Sign-ups'!$AO$2:$AO$301,0)),"")</f>
        <v/>
      </c>
      <c r="D264" s="27">
        <f>IFERROR(INDEX('Sign-ups'!$AG$2:$AG$301,MATCH(259,'Sign-ups'!$AO$2:$AO$301,0)),"")</f>
        <v/>
      </c>
      <c r="E264" s="27">
        <f>IFERROR(INDEX('Sign-ups'!$AH$2:$AH$301,MATCH(259,'Sign-ups'!$AO$2:$AO$301,0)),"")</f>
        <v/>
      </c>
      <c r="F264" s="27">
        <f>IFERROR(INDEX('Sign-ups'!$AI$2:$AI$301,MATCH(259,'Sign-ups'!$AO$2:$AO$301,0)),"")</f>
        <v/>
      </c>
      <c r="G264" s="27">
        <f>IFERROR(INDEX('Sign-ups'!$AK$2:$AK$301,MATCH(259,'Sign-ups'!$AO$2:$AO$301,0)),"")</f>
        <v/>
      </c>
      <c r="H264" s="26">
        <f>IFERROR(INDEX('Sign-ups'!$AJ$2:$AJ$301,MATCH(259,'Sign-ups'!$AO$2:$AO$301,0)),"")</f>
        <v/>
      </c>
      <c r="I264" s="26">
        <f>IFERROR(INDEX('Sign-ups'!$AN$2:$AN$301,MATCH(259,'Sign-ups'!$AO$2:$AO$301,0)),"")</f>
        <v/>
      </c>
      <c r="J264" s="26">
        <f>IFERROR(INDEX('Sign-ups'!$AA$2:$AA$301,MATCH(259,'Sign-ups'!$AO$2:$AO$301,0))&amp;"","")</f>
        <v/>
      </c>
      <c r="K264" s="27">
        <f>IFERROR(INDEX('Sign-ups'!$AB$2:$AB$301,MATCH(259,'Sign-ups'!$AO$2:$AO$301,0))&amp;"","")</f>
        <v/>
      </c>
    </row>
    <row r="265">
      <c r="A265" s="26">
        <f>IF(ISNUMBER(MATCH(260,'Sign-ups'!$AO$2:$AO$301,0)),260,"")</f>
        <v/>
      </c>
      <c r="B265" s="27">
        <f>IFERROR(INDEX('Sign-ups'!$AE$2:$AE$301,MATCH(260,'Sign-ups'!$AO$2:$AO$301,0)),"")</f>
        <v/>
      </c>
      <c r="C265" s="27">
        <f>IFERROR(INDEX('Sign-ups'!$AF$2:$AF$301,MATCH(260,'Sign-ups'!$AO$2:$AO$301,0)),"")</f>
        <v/>
      </c>
      <c r="D265" s="27">
        <f>IFERROR(INDEX('Sign-ups'!$AG$2:$AG$301,MATCH(260,'Sign-ups'!$AO$2:$AO$301,0)),"")</f>
        <v/>
      </c>
      <c r="E265" s="27">
        <f>IFERROR(INDEX('Sign-ups'!$AH$2:$AH$301,MATCH(260,'Sign-ups'!$AO$2:$AO$301,0)),"")</f>
        <v/>
      </c>
      <c r="F265" s="27">
        <f>IFERROR(INDEX('Sign-ups'!$AI$2:$AI$301,MATCH(260,'Sign-ups'!$AO$2:$AO$301,0)),"")</f>
        <v/>
      </c>
      <c r="G265" s="27">
        <f>IFERROR(INDEX('Sign-ups'!$AK$2:$AK$301,MATCH(260,'Sign-ups'!$AO$2:$AO$301,0)),"")</f>
        <v/>
      </c>
      <c r="H265" s="26">
        <f>IFERROR(INDEX('Sign-ups'!$AJ$2:$AJ$301,MATCH(260,'Sign-ups'!$AO$2:$AO$301,0)),"")</f>
        <v/>
      </c>
      <c r="I265" s="26">
        <f>IFERROR(INDEX('Sign-ups'!$AN$2:$AN$301,MATCH(260,'Sign-ups'!$AO$2:$AO$301,0)),"")</f>
        <v/>
      </c>
      <c r="J265" s="26">
        <f>IFERROR(INDEX('Sign-ups'!$AA$2:$AA$301,MATCH(260,'Sign-ups'!$AO$2:$AO$301,0))&amp;"","")</f>
        <v/>
      </c>
      <c r="K265" s="27">
        <f>IFERROR(INDEX('Sign-ups'!$AB$2:$AB$301,MATCH(260,'Sign-ups'!$AO$2:$AO$301,0))&amp;"","")</f>
        <v/>
      </c>
    </row>
    <row r="266">
      <c r="A266" s="26">
        <f>IF(ISNUMBER(MATCH(261,'Sign-ups'!$AO$2:$AO$301,0)),261,"")</f>
        <v/>
      </c>
      <c r="B266" s="27">
        <f>IFERROR(INDEX('Sign-ups'!$AE$2:$AE$301,MATCH(261,'Sign-ups'!$AO$2:$AO$301,0)),"")</f>
        <v/>
      </c>
      <c r="C266" s="27">
        <f>IFERROR(INDEX('Sign-ups'!$AF$2:$AF$301,MATCH(261,'Sign-ups'!$AO$2:$AO$301,0)),"")</f>
        <v/>
      </c>
      <c r="D266" s="27">
        <f>IFERROR(INDEX('Sign-ups'!$AG$2:$AG$301,MATCH(261,'Sign-ups'!$AO$2:$AO$301,0)),"")</f>
        <v/>
      </c>
      <c r="E266" s="27">
        <f>IFERROR(INDEX('Sign-ups'!$AH$2:$AH$301,MATCH(261,'Sign-ups'!$AO$2:$AO$301,0)),"")</f>
        <v/>
      </c>
      <c r="F266" s="27">
        <f>IFERROR(INDEX('Sign-ups'!$AI$2:$AI$301,MATCH(261,'Sign-ups'!$AO$2:$AO$301,0)),"")</f>
        <v/>
      </c>
      <c r="G266" s="27">
        <f>IFERROR(INDEX('Sign-ups'!$AK$2:$AK$301,MATCH(261,'Sign-ups'!$AO$2:$AO$301,0)),"")</f>
        <v/>
      </c>
      <c r="H266" s="26">
        <f>IFERROR(INDEX('Sign-ups'!$AJ$2:$AJ$301,MATCH(261,'Sign-ups'!$AO$2:$AO$301,0)),"")</f>
        <v/>
      </c>
      <c r="I266" s="26">
        <f>IFERROR(INDEX('Sign-ups'!$AN$2:$AN$301,MATCH(261,'Sign-ups'!$AO$2:$AO$301,0)),"")</f>
        <v/>
      </c>
      <c r="J266" s="26">
        <f>IFERROR(INDEX('Sign-ups'!$AA$2:$AA$301,MATCH(261,'Sign-ups'!$AO$2:$AO$301,0))&amp;"","")</f>
        <v/>
      </c>
      <c r="K266" s="27">
        <f>IFERROR(INDEX('Sign-ups'!$AB$2:$AB$301,MATCH(261,'Sign-ups'!$AO$2:$AO$301,0))&amp;"","")</f>
        <v/>
      </c>
    </row>
    <row r="267">
      <c r="A267" s="26">
        <f>IF(ISNUMBER(MATCH(262,'Sign-ups'!$AO$2:$AO$301,0)),262,"")</f>
        <v/>
      </c>
      <c r="B267" s="27">
        <f>IFERROR(INDEX('Sign-ups'!$AE$2:$AE$301,MATCH(262,'Sign-ups'!$AO$2:$AO$301,0)),"")</f>
        <v/>
      </c>
      <c r="C267" s="27">
        <f>IFERROR(INDEX('Sign-ups'!$AF$2:$AF$301,MATCH(262,'Sign-ups'!$AO$2:$AO$301,0)),"")</f>
        <v/>
      </c>
      <c r="D267" s="27">
        <f>IFERROR(INDEX('Sign-ups'!$AG$2:$AG$301,MATCH(262,'Sign-ups'!$AO$2:$AO$301,0)),"")</f>
        <v/>
      </c>
      <c r="E267" s="27">
        <f>IFERROR(INDEX('Sign-ups'!$AH$2:$AH$301,MATCH(262,'Sign-ups'!$AO$2:$AO$301,0)),"")</f>
        <v/>
      </c>
      <c r="F267" s="27">
        <f>IFERROR(INDEX('Sign-ups'!$AI$2:$AI$301,MATCH(262,'Sign-ups'!$AO$2:$AO$301,0)),"")</f>
        <v/>
      </c>
      <c r="G267" s="27">
        <f>IFERROR(INDEX('Sign-ups'!$AK$2:$AK$301,MATCH(262,'Sign-ups'!$AO$2:$AO$301,0)),"")</f>
        <v/>
      </c>
      <c r="H267" s="26">
        <f>IFERROR(INDEX('Sign-ups'!$AJ$2:$AJ$301,MATCH(262,'Sign-ups'!$AO$2:$AO$301,0)),"")</f>
        <v/>
      </c>
      <c r="I267" s="26">
        <f>IFERROR(INDEX('Sign-ups'!$AN$2:$AN$301,MATCH(262,'Sign-ups'!$AO$2:$AO$301,0)),"")</f>
        <v/>
      </c>
      <c r="J267" s="26">
        <f>IFERROR(INDEX('Sign-ups'!$AA$2:$AA$301,MATCH(262,'Sign-ups'!$AO$2:$AO$301,0))&amp;"","")</f>
        <v/>
      </c>
      <c r="K267" s="27">
        <f>IFERROR(INDEX('Sign-ups'!$AB$2:$AB$301,MATCH(262,'Sign-ups'!$AO$2:$AO$301,0))&amp;"","")</f>
        <v/>
      </c>
    </row>
    <row r="268">
      <c r="A268" s="26">
        <f>IF(ISNUMBER(MATCH(263,'Sign-ups'!$AO$2:$AO$301,0)),263,"")</f>
        <v/>
      </c>
      <c r="B268" s="27">
        <f>IFERROR(INDEX('Sign-ups'!$AE$2:$AE$301,MATCH(263,'Sign-ups'!$AO$2:$AO$301,0)),"")</f>
        <v/>
      </c>
      <c r="C268" s="27">
        <f>IFERROR(INDEX('Sign-ups'!$AF$2:$AF$301,MATCH(263,'Sign-ups'!$AO$2:$AO$301,0)),"")</f>
        <v/>
      </c>
      <c r="D268" s="27">
        <f>IFERROR(INDEX('Sign-ups'!$AG$2:$AG$301,MATCH(263,'Sign-ups'!$AO$2:$AO$301,0)),"")</f>
        <v/>
      </c>
      <c r="E268" s="27">
        <f>IFERROR(INDEX('Sign-ups'!$AH$2:$AH$301,MATCH(263,'Sign-ups'!$AO$2:$AO$301,0)),"")</f>
        <v/>
      </c>
      <c r="F268" s="27">
        <f>IFERROR(INDEX('Sign-ups'!$AI$2:$AI$301,MATCH(263,'Sign-ups'!$AO$2:$AO$301,0)),"")</f>
        <v/>
      </c>
      <c r="G268" s="27">
        <f>IFERROR(INDEX('Sign-ups'!$AK$2:$AK$301,MATCH(263,'Sign-ups'!$AO$2:$AO$301,0)),"")</f>
        <v/>
      </c>
      <c r="H268" s="26">
        <f>IFERROR(INDEX('Sign-ups'!$AJ$2:$AJ$301,MATCH(263,'Sign-ups'!$AO$2:$AO$301,0)),"")</f>
        <v/>
      </c>
      <c r="I268" s="26">
        <f>IFERROR(INDEX('Sign-ups'!$AN$2:$AN$301,MATCH(263,'Sign-ups'!$AO$2:$AO$301,0)),"")</f>
        <v/>
      </c>
      <c r="J268" s="26">
        <f>IFERROR(INDEX('Sign-ups'!$AA$2:$AA$301,MATCH(263,'Sign-ups'!$AO$2:$AO$301,0))&amp;"","")</f>
        <v/>
      </c>
      <c r="K268" s="27">
        <f>IFERROR(INDEX('Sign-ups'!$AB$2:$AB$301,MATCH(263,'Sign-ups'!$AO$2:$AO$301,0))&amp;"","")</f>
        <v/>
      </c>
    </row>
    <row r="269">
      <c r="A269" s="26">
        <f>IF(ISNUMBER(MATCH(264,'Sign-ups'!$AO$2:$AO$301,0)),264,"")</f>
        <v/>
      </c>
      <c r="B269" s="27">
        <f>IFERROR(INDEX('Sign-ups'!$AE$2:$AE$301,MATCH(264,'Sign-ups'!$AO$2:$AO$301,0)),"")</f>
        <v/>
      </c>
      <c r="C269" s="27">
        <f>IFERROR(INDEX('Sign-ups'!$AF$2:$AF$301,MATCH(264,'Sign-ups'!$AO$2:$AO$301,0)),"")</f>
        <v/>
      </c>
      <c r="D269" s="27">
        <f>IFERROR(INDEX('Sign-ups'!$AG$2:$AG$301,MATCH(264,'Sign-ups'!$AO$2:$AO$301,0)),"")</f>
        <v/>
      </c>
      <c r="E269" s="27">
        <f>IFERROR(INDEX('Sign-ups'!$AH$2:$AH$301,MATCH(264,'Sign-ups'!$AO$2:$AO$301,0)),"")</f>
        <v/>
      </c>
      <c r="F269" s="27">
        <f>IFERROR(INDEX('Sign-ups'!$AI$2:$AI$301,MATCH(264,'Sign-ups'!$AO$2:$AO$301,0)),"")</f>
        <v/>
      </c>
      <c r="G269" s="27">
        <f>IFERROR(INDEX('Sign-ups'!$AK$2:$AK$301,MATCH(264,'Sign-ups'!$AO$2:$AO$301,0)),"")</f>
        <v/>
      </c>
      <c r="H269" s="26">
        <f>IFERROR(INDEX('Sign-ups'!$AJ$2:$AJ$301,MATCH(264,'Sign-ups'!$AO$2:$AO$301,0)),"")</f>
        <v/>
      </c>
      <c r="I269" s="26">
        <f>IFERROR(INDEX('Sign-ups'!$AN$2:$AN$301,MATCH(264,'Sign-ups'!$AO$2:$AO$301,0)),"")</f>
        <v/>
      </c>
      <c r="J269" s="26">
        <f>IFERROR(INDEX('Sign-ups'!$AA$2:$AA$301,MATCH(264,'Sign-ups'!$AO$2:$AO$301,0))&amp;"","")</f>
        <v/>
      </c>
      <c r="K269" s="27">
        <f>IFERROR(INDEX('Sign-ups'!$AB$2:$AB$301,MATCH(264,'Sign-ups'!$AO$2:$AO$301,0))&amp;"","")</f>
        <v/>
      </c>
    </row>
    <row r="270">
      <c r="A270" s="26">
        <f>IF(ISNUMBER(MATCH(265,'Sign-ups'!$AO$2:$AO$301,0)),265,"")</f>
        <v/>
      </c>
      <c r="B270" s="27">
        <f>IFERROR(INDEX('Sign-ups'!$AE$2:$AE$301,MATCH(265,'Sign-ups'!$AO$2:$AO$301,0)),"")</f>
        <v/>
      </c>
      <c r="C270" s="27">
        <f>IFERROR(INDEX('Sign-ups'!$AF$2:$AF$301,MATCH(265,'Sign-ups'!$AO$2:$AO$301,0)),"")</f>
        <v/>
      </c>
      <c r="D270" s="27">
        <f>IFERROR(INDEX('Sign-ups'!$AG$2:$AG$301,MATCH(265,'Sign-ups'!$AO$2:$AO$301,0)),"")</f>
        <v/>
      </c>
      <c r="E270" s="27">
        <f>IFERROR(INDEX('Sign-ups'!$AH$2:$AH$301,MATCH(265,'Sign-ups'!$AO$2:$AO$301,0)),"")</f>
        <v/>
      </c>
      <c r="F270" s="27">
        <f>IFERROR(INDEX('Sign-ups'!$AI$2:$AI$301,MATCH(265,'Sign-ups'!$AO$2:$AO$301,0)),"")</f>
        <v/>
      </c>
      <c r="G270" s="27">
        <f>IFERROR(INDEX('Sign-ups'!$AK$2:$AK$301,MATCH(265,'Sign-ups'!$AO$2:$AO$301,0)),"")</f>
        <v/>
      </c>
      <c r="H270" s="26">
        <f>IFERROR(INDEX('Sign-ups'!$AJ$2:$AJ$301,MATCH(265,'Sign-ups'!$AO$2:$AO$301,0)),"")</f>
        <v/>
      </c>
      <c r="I270" s="26">
        <f>IFERROR(INDEX('Sign-ups'!$AN$2:$AN$301,MATCH(265,'Sign-ups'!$AO$2:$AO$301,0)),"")</f>
        <v/>
      </c>
      <c r="J270" s="26">
        <f>IFERROR(INDEX('Sign-ups'!$AA$2:$AA$301,MATCH(265,'Sign-ups'!$AO$2:$AO$301,0))&amp;"","")</f>
        <v/>
      </c>
      <c r="K270" s="27">
        <f>IFERROR(INDEX('Sign-ups'!$AB$2:$AB$301,MATCH(265,'Sign-ups'!$AO$2:$AO$301,0))&amp;"","")</f>
        <v/>
      </c>
    </row>
    <row r="271">
      <c r="A271" s="26">
        <f>IF(ISNUMBER(MATCH(266,'Sign-ups'!$AO$2:$AO$301,0)),266,"")</f>
        <v/>
      </c>
      <c r="B271" s="27">
        <f>IFERROR(INDEX('Sign-ups'!$AE$2:$AE$301,MATCH(266,'Sign-ups'!$AO$2:$AO$301,0)),"")</f>
        <v/>
      </c>
      <c r="C271" s="27">
        <f>IFERROR(INDEX('Sign-ups'!$AF$2:$AF$301,MATCH(266,'Sign-ups'!$AO$2:$AO$301,0)),"")</f>
        <v/>
      </c>
      <c r="D271" s="27">
        <f>IFERROR(INDEX('Sign-ups'!$AG$2:$AG$301,MATCH(266,'Sign-ups'!$AO$2:$AO$301,0)),"")</f>
        <v/>
      </c>
      <c r="E271" s="27">
        <f>IFERROR(INDEX('Sign-ups'!$AH$2:$AH$301,MATCH(266,'Sign-ups'!$AO$2:$AO$301,0)),"")</f>
        <v/>
      </c>
      <c r="F271" s="27">
        <f>IFERROR(INDEX('Sign-ups'!$AI$2:$AI$301,MATCH(266,'Sign-ups'!$AO$2:$AO$301,0)),"")</f>
        <v/>
      </c>
      <c r="G271" s="27">
        <f>IFERROR(INDEX('Sign-ups'!$AK$2:$AK$301,MATCH(266,'Sign-ups'!$AO$2:$AO$301,0)),"")</f>
        <v/>
      </c>
      <c r="H271" s="26">
        <f>IFERROR(INDEX('Sign-ups'!$AJ$2:$AJ$301,MATCH(266,'Sign-ups'!$AO$2:$AO$301,0)),"")</f>
        <v/>
      </c>
      <c r="I271" s="26">
        <f>IFERROR(INDEX('Sign-ups'!$AN$2:$AN$301,MATCH(266,'Sign-ups'!$AO$2:$AO$301,0)),"")</f>
        <v/>
      </c>
      <c r="J271" s="26">
        <f>IFERROR(INDEX('Sign-ups'!$AA$2:$AA$301,MATCH(266,'Sign-ups'!$AO$2:$AO$301,0))&amp;"","")</f>
        <v/>
      </c>
      <c r="K271" s="27">
        <f>IFERROR(INDEX('Sign-ups'!$AB$2:$AB$301,MATCH(266,'Sign-ups'!$AO$2:$AO$301,0))&amp;"","")</f>
        <v/>
      </c>
    </row>
    <row r="272">
      <c r="A272" s="26">
        <f>IF(ISNUMBER(MATCH(267,'Sign-ups'!$AO$2:$AO$301,0)),267,"")</f>
        <v/>
      </c>
      <c r="B272" s="27">
        <f>IFERROR(INDEX('Sign-ups'!$AE$2:$AE$301,MATCH(267,'Sign-ups'!$AO$2:$AO$301,0)),"")</f>
        <v/>
      </c>
      <c r="C272" s="27">
        <f>IFERROR(INDEX('Sign-ups'!$AF$2:$AF$301,MATCH(267,'Sign-ups'!$AO$2:$AO$301,0)),"")</f>
        <v/>
      </c>
      <c r="D272" s="27">
        <f>IFERROR(INDEX('Sign-ups'!$AG$2:$AG$301,MATCH(267,'Sign-ups'!$AO$2:$AO$301,0)),"")</f>
        <v/>
      </c>
      <c r="E272" s="27">
        <f>IFERROR(INDEX('Sign-ups'!$AH$2:$AH$301,MATCH(267,'Sign-ups'!$AO$2:$AO$301,0)),"")</f>
        <v/>
      </c>
      <c r="F272" s="27">
        <f>IFERROR(INDEX('Sign-ups'!$AI$2:$AI$301,MATCH(267,'Sign-ups'!$AO$2:$AO$301,0)),"")</f>
        <v/>
      </c>
      <c r="G272" s="27">
        <f>IFERROR(INDEX('Sign-ups'!$AK$2:$AK$301,MATCH(267,'Sign-ups'!$AO$2:$AO$301,0)),"")</f>
        <v/>
      </c>
      <c r="H272" s="26">
        <f>IFERROR(INDEX('Sign-ups'!$AJ$2:$AJ$301,MATCH(267,'Sign-ups'!$AO$2:$AO$301,0)),"")</f>
        <v/>
      </c>
      <c r="I272" s="26">
        <f>IFERROR(INDEX('Sign-ups'!$AN$2:$AN$301,MATCH(267,'Sign-ups'!$AO$2:$AO$301,0)),"")</f>
        <v/>
      </c>
      <c r="J272" s="26">
        <f>IFERROR(INDEX('Sign-ups'!$AA$2:$AA$301,MATCH(267,'Sign-ups'!$AO$2:$AO$301,0))&amp;"","")</f>
        <v/>
      </c>
      <c r="K272" s="27">
        <f>IFERROR(INDEX('Sign-ups'!$AB$2:$AB$301,MATCH(267,'Sign-ups'!$AO$2:$AO$301,0))&amp;"","")</f>
        <v/>
      </c>
    </row>
    <row r="273">
      <c r="A273" s="26">
        <f>IF(ISNUMBER(MATCH(268,'Sign-ups'!$AO$2:$AO$301,0)),268,"")</f>
        <v/>
      </c>
      <c r="B273" s="27">
        <f>IFERROR(INDEX('Sign-ups'!$AE$2:$AE$301,MATCH(268,'Sign-ups'!$AO$2:$AO$301,0)),"")</f>
        <v/>
      </c>
      <c r="C273" s="27">
        <f>IFERROR(INDEX('Sign-ups'!$AF$2:$AF$301,MATCH(268,'Sign-ups'!$AO$2:$AO$301,0)),"")</f>
        <v/>
      </c>
      <c r="D273" s="27">
        <f>IFERROR(INDEX('Sign-ups'!$AG$2:$AG$301,MATCH(268,'Sign-ups'!$AO$2:$AO$301,0)),"")</f>
        <v/>
      </c>
      <c r="E273" s="27">
        <f>IFERROR(INDEX('Sign-ups'!$AH$2:$AH$301,MATCH(268,'Sign-ups'!$AO$2:$AO$301,0)),"")</f>
        <v/>
      </c>
      <c r="F273" s="27">
        <f>IFERROR(INDEX('Sign-ups'!$AI$2:$AI$301,MATCH(268,'Sign-ups'!$AO$2:$AO$301,0)),"")</f>
        <v/>
      </c>
      <c r="G273" s="27">
        <f>IFERROR(INDEX('Sign-ups'!$AK$2:$AK$301,MATCH(268,'Sign-ups'!$AO$2:$AO$301,0)),"")</f>
        <v/>
      </c>
      <c r="H273" s="26">
        <f>IFERROR(INDEX('Sign-ups'!$AJ$2:$AJ$301,MATCH(268,'Sign-ups'!$AO$2:$AO$301,0)),"")</f>
        <v/>
      </c>
      <c r="I273" s="26">
        <f>IFERROR(INDEX('Sign-ups'!$AN$2:$AN$301,MATCH(268,'Sign-ups'!$AO$2:$AO$301,0)),"")</f>
        <v/>
      </c>
      <c r="J273" s="26">
        <f>IFERROR(INDEX('Sign-ups'!$AA$2:$AA$301,MATCH(268,'Sign-ups'!$AO$2:$AO$301,0))&amp;"","")</f>
        <v/>
      </c>
      <c r="K273" s="27">
        <f>IFERROR(INDEX('Sign-ups'!$AB$2:$AB$301,MATCH(268,'Sign-ups'!$AO$2:$AO$301,0))&amp;"","")</f>
        <v/>
      </c>
    </row>
    <row r="274">
      <c r="A274" s="26">
        <f>IF(ISNUMBER(MATCH(269,'Sign-ups'!$AO$2:$AO$301,0)),269,"")</f>
        <v/>
      </c>
      <c r="B274" s="27">
        <f>IFERROR(INDEX('Sign-ups'!$AE$2:$AE$301,MATCH(269,'Sign-ups'!$AO$2:$AO$301,0)),"")</f>
        <v/>
      </c>
      <c r="C274" s="27">
        <f>IFERROR(INDEX('Sign-ups'!$AF$2:$AF$301,MATCH(269,'Sign-ups'!$AO$2:$AO$301,0)),"")</f>
        <v/>
      </c>
      <c r="D274" s="27">
        <f>IFERROR(INDEX('Sign-ups'!$AG$2:$AG$301,MATCH(269,'Sign-ups'!$AO$2:$AO$301,0)),"")</f>
        <v/>
      </c>
      <c r="E274" s="27">
        <f>IFERROR(INDEX('Sign-ups'!$AH$2:$AH$301,MATCH(269,'Sign-ups'!$AO$2:$AO$301,0)),"")</f>
        <v/>
      </c>
      <c r="F274" s="27">
        <f>IFERROR(INDEX('Sign-ups'!$AI$2:$AI$301,MATCH(269,'Sign-ups'!$AO$2:$AO$301,0)),"")</f>
        <v/>
      </c>
      <c r="G274" s="27">
        <f>IFERROR(INDEX('Sign-ups'!$AK$2:$AK$301,MATCH(269,'Sign-ups'!$AO$2:$AO$301,0)),"")</f>
        <v/>
      </c>
      <c r="H274" s="26">
        <f>IFERROR(INDEX('Sign-ups'!$AJ$2:$AJ$301,MATCH(269,'Sign-ups'!$AO$2:$AO$301,0)),"")</f>
        <v/>
      </c>
      <c r="I274" s="26">
        <f>IFERROR(INDEX('Sign-ups'!$AN$2:$AN$301,MATCH(269,'Sign-ups'!$AO$2:$AO$301,0)),"")</f>
        <v/>
      </c>
      <c r="J274" s="26">
        <f>IFERROR(INDEX('Sign-ups'!$AA$2:$AA$301,MATCH(269,'Sign-ups'!$AO$2:$AO$301,0))&amp;"","")</f>
        <v/>
      </c>
      <c r="K274" s="27">
        <f>IFERROR(INDEX('Sign-ups'!$AB$2:$AB$301,MATCH(269,'Sign-ups'!$AO$2:$AO$301,0))&amp;"","")</f>
        <v/>
      </c>
    </row>
    <row r="275">
      <c r="A275" s="26">
        <f>IF(ISNUMBER(MATCH(270,'Sign-ups'!$AO$2:$AO$301,0)),270,"")</f>
        <v/>
      </c>
      <c r="B275" s="27">
        <f>IFERROR(INDEX('Sign-ups'!$AE$2:$AE$301,MATCH(270,'Sign-ups'!$AO$2:$AO$301,0)),"")</f>
        <v/>
      </c>
      <c r="C275" s="27">
        <f>IFERROR(INDEX('Sign-ups'!$AF$2:$AF$301,MATCH(270,'Sign-ups'!$AO$2:$AO$301,0)),"")</f>
        <v/>
      </c>
      <c r="D275" s="27">
        <f>IFERROR(INDEX('Sign-ups'!$AG$2:$AG$301,MATCH(270,'Sign-ups'!$AO$2:$AO$301,0)),"")</f>
        <v/>
      </c>
      <c r="E275" s="27">
        <f>IFERROR(INDEX('Sign-ups'!$AH$2:$AH$301,MATCH(270,'Sign-ups'!$AO$2:$AO$301,0)),"")</f>
        <v/>
      </c>
      <c r="F275" s="27">
        <f>IFERROR(INDEX('Sign-ups'!$AI$2:$AI$301,MATCH(270,'Sign-ups'!$AO$2:$AO$301,0)),"")</f>
        <v/>
      </c>
      <c r="G275" s="27">
        <f>IFERROR(INDEX('Sign-ups'!$AK$2:$AK$301,MATCH(270,'Sign-ups'!$AO$2:$AO$301,0)),"")</f>
        <v/>
      </c>
      <c r="H275" s="26">
        <f>IFERROR(INDEX('Sign-ups'!$AJ$2:$AJ$301,MATCH(270,'Sign-ups'!$AO$2:$AO$301,0)),"")</f>
        <v/>
      </c>
      <c r="I275" s="26">
        <f>IFERROR(INDEX('Sign-ups'!$AN$2:$AN$301,MATCH(270,'Sign-ups'!$AO$2:$AO$301,0)),"")</f>
        <v/>
      </c>
      <c r="J275" s="26">
        <f>IFERROR(INDEX('Sign-ups'!$AA$2:$AA$301,MATCH(270,'Sign-ups'!$AO$2:$AO$301,0))&amp;"","")</f>
        <v/>
      </c>
      <c r="K275" s="27">
        <f>IFERROR(INDEX('Sign-ups'!$AB$2:$AB$301,MATCH(270,'Sign-ups'!$AO$2:$AO$301,0))&amp;"","")</f>
        <v/>
      </c>
    </row>
    <row r="276">
      <c r="A276" s="26">
        <f>IF(ISNUMBER(MATCH(271,'Sign-ups'!$AO$2:$AO$301,0)),271,"")</f>
        <v/>
      </c>
      <c r="B276" s="27">
        <f>IFERROR(INDEX('Sign-ups'!$AE$2:$AE$301,MATCH(271,'Sign-ups'!$AO$2:$AO$301,0)),"")</f>
        <v/>
      </c>
      <c r="C276" s="27">
        <f>IFERROR(INDEX('Sign-ups'!$AF$2:$AF$301,MATCH(271,'Sign-ups'!$AO$2:$AO$301,0)),"")</f>
        <v/>
      </c>
      <c r="D276" s="27">
        <f>IFERROR(INDEX('Sign-ups'!$AG$2:$AG$301,MATCH(271,'Sign-ups'!$AO$2:$AO$301,0)),"")</f>
        <v/>
      </c>
      <c r="E276" s="27">
        <f>IFERROR(INDEX('Sign-ups'!$AH$2:$AH$301,MATCH(271,'Sign-ups'!$AO$2:$AO$301,0)),"")</f>
        <v/>
      </c>
      <c r="F276" s="27">
        <f>IFERROR(INDEX('Sign-ups'!$AI$2:$AI$301,MATCH(271,'Sign-ups'!$AO$2:$AO$301,0)),"")</f>
        <v/>
      </c>
      <c r="G276" s="27">
        <f>IFERROR(INDEX('Sign-ups'!$AK$2:$AK$301,MATCH(271,'Sign-ups'!$AO$2:$AO$301,0)),"")</f>
        <v/>
      </c>
      <c r="H276" s="26">
        <f>IFERROR(INDEX('Sign-ups'!$AJ$2:$AJ$301,MATCH(271,'Sign-ups'!$AO$2:$AO$301,0)),"")</f>
        <v/>
      </c>
      <c r="I276" s="26">
        <f>IFERROR(INDEX('Sign-ups'!$AN$2:$AN$301,MATCH(271,'Sign-ups'!$AO$2:$AO$301,0)),"")</f>
        <v/>
      </c>
      <c r="J276" s="26">
        <f>IFERROR(INDEX('Sign-ups'!$AA$2:$AA$301,MATCH(271,'Sign-ups'!$AO$2:$AO$301,0))&amp;"","")</f>
        <v/>
      </c>
      <c r="K276" s="27">
        <f>IFERROR(INDEX('Sign-ups'!$AB$2:$AB$301,MATCH(271,'Sign-ups'!$AO$2:$AO$301,0))&amp;"","")</f>
        <v/>
      </c>
    </row>
    <row r="277">
      <c r="A277" s="26">
        <f>IF(ISNUMBER(MATCH(272,'Sign-ups'!$AO$2:$AO$301,0)),272,"")</f>
        <v/>
      </c>
      <c r="B277" s="27">
        <f>IFERROR(INDEX('Sign-ups'!$AE$2:$AE$301,MATCH(272,'Sign-ups'!$AO$2:$AO$301,0)),"")</f>
        <v/>
      </c>
      <c r="C277" s="27">
        <f>IFERROR(INDEX('Sign-ups'!$AF$2:$AF$301,MATCH(272,'Sign-ups'!$AO$2:$AO$301,0)),"")</f>
        <v/>
      </c>
      <c r="D277" s="27">
        <f>IFERROR(INDEX('Sign-ups'!$AG$2:$AG$301,MATCH(272,'Sign-ups'!$AO$2:$AO$301,0)),"")</f>
        <v/>
      </c>
      <c r="E277" s="27">
        <f>IFERROR(INDEX('Sign-ups'!$AH$2:$AH$301,MATCH(272,'Sign-ups'!$AO$2:$AO$301,0)),"")</f>
        <v/>
      </c>
      <c r="F277" s="27">
        <f>IFERROR(INDEX('Sign-ups'!$AI$2:$AI$301,MATCH(272,'Sign-ups'!$AO$2:$AO$301,0)),"")</f>
        <v/>
      </c>
      <c r="G277" s="27">
        <f>IFERROR(INDEX('Sign-ups'!$AK$2:$AK$301,MATCH(272,'Sign-ups'!$AO$2:$AO$301,0)),"")</f>
        <v/>
      </c>
      <c r="H277" s="26">
        <f>IFERROR(INDEX('Sign-ups'!$AJ$2:$AJ$301,MATCH(272,'Sign-ups'!$AO$2:$AO$301,0)),"")</f>
        <v/>
      </c>
      <c r="I277" s="26">
        <f>IFERROR(INDEX('Sign-ups'!$AN$2:$AN$301,MATCH(272,'Sign-ups'!$AO$2:$AO$301,0)),"")</f>
        <v/>
      </c>
      <c r="J277" s="26">
        <f>IFERROR(INDEX('Sign-ups'!$AA$2:$AA$301,MATCH(272,'Sign-ups'!$AO$2:$AO$301,0))&amp;"","")</f>
        <v/>
      </c>
      <c r="K277" s="27">
        <f>IFERROR(INDEX('Sign-ups'!$AB$2:$AB$301,MATCH(272,'Sign-ups'!$AO$2:$AO$301,0))&amp;"","")</f>
        <v/>
      </c>
    </row>
    <row r="278">
      <c r="A278" s="26">
        <f>IF(ISNUMBER(MATCH(273,'Sign-ups'!$AO$2:$AO$301,0)),273,"")</f>
        <v/>
      </c>
      <c r="B278" s="27">
        <f>IFERROR(INDEX('Sign-ups'!$AE$2:$AE$301,MATCH(273,'Sign-ups'!$AO$2:$AO$301,0)),"")</f>
        <v/>
      </c>
      <c r="C278" s="27">
        <f>IFERROR(INDEX('Sign-ups'!$AF$2:$AF$301,MATCH(273,'Sign-ups'!$AO$2:$AO$301,0)),"")</f>
        <v/>
      </c>
      <c r="D278" s="27">
        <f>IFERROR(INDEX('Sign-ups'!$AG$2:$AG$301,MATCH(273,'Sign-ups'!$AO$2:$AO$301,0)),"")</f>
        <v/>
      </c>
      <c r="E278" s="27">
        <f>IFERROR(INDEX('Sign-ups'!$AH$2:$AH$301,MATCH(273,'Sign-ups'!$AO$2:$AO$301,0)),"")</f>
        <v/>
      </c>
      <c r="F278" s="27">
        <f>IFERROR(INDEX('Sign-ups'!$AI$2:$AI$301,MATCH(273,'Sign-ups'!$AO$2:$AO$301,0)),"")</f>
        <v/>
      </c>
      <c r="G278" s="27">
        <f>IFERROR(INDEX('Sign-ups'!$AK$2:$AK$301,MATCH(273,'Sign-ups'!$AO$2:$AO$301,0)),"")</f>
        <v/>
      </c>
      <c r="H278" s="26">
        <f>IFERROR(INDEX('Sign-ups'!$AJ$2:$AJ$301,MATCH(273,'Sign-ups'!$AO$2:$AO$301,0)),"")</f>
        <v/>
      </c>
      <c r="I278" s="26">
        <f>IFERROR(INDEX('Sign-ups'!$AN$2:$AN$301,MATCH(273,'Sign-ups'!$AO$2:$AO$301,0)),"")</f>
        <v/>
      </c>
      <c r="J278" s="26">
        <f>IFERROR(INDEX('Sign-ups'!$AA$2:$AA$301,MATCH(273,'Sign-ups'!$AO$2:$AO$301,0))&amp;"","")</f>
        <v/>
      </c>
      <c r="K278" s="27">
        <f>IFERROR(INDEX('Sign-ups'!$AB$2:$AB$301,MATCH(273,'Sign-ups'!$AO$2:$AO$301,0))&amp;"","")</f>
        <v/>
      </c>
    </row>
    <row r="279">
      <c r="A279" s="26">
        <f>IF(ISNUMBER(MATCH(274,'Sign-ups'!$AO$2:$AO$301,0)),274,"")</f>
        <v/>
      </c>
      <c r="B279" s="27">
        <f>IFERROR(INDEX('Sign-ups'!$AE$2:$AE$301,MATCH(274,'Sign-ups'!$AO$2:$AO$301,0)),"")</f>
        <v/>
      </c>
      <c r="C279" s="27">
        <f>IFERROR(INDEX('Sign-ups'!$AF$2:$AF$301,MATCH(274,'Sign-ups'!$AO$2:$AO$301,0)),"")</f>
        <v/>
      </c>
      <c r="D279" s="27">
        <f>IFERROR(INDEX('Sign-ups'!$AG$2:$AG$301,MATCH(274,'Sign-ups'!$AO$2:$AO$301,0)),"")</f>
        <v/>
      </c>
      <c r="E279" s="27">
        <f>IFERROR(INDEX('Sign-ups'!$AH$2:$AH$301,MATCH(274,'Sign-ups'!$AO$2:$AO$301,0)),"")</f>
        <v/>
      </c>
      <c r="F279" s="27">
        <f>IFERROR(INDEX('Sign-ups'!$AI$2:$AI$301,MATCH(274,'Sign-ups'!$AO$2:$AO$301,0)),"")</f>
        <v/>
      </c>
      <c r="G279" s="27">
        <f>IFERROR(INDEX('Sign-ups'!$AK$2:$AK$301,MATCH(274,'Sign-ups'!$AO$2:$AO$301,0)),"")</f>
        <v/>
      </c>
      <c r="H279" s="26">
        <f>IFERROR(INDEX('Sign-ups'!$AJ$2:$AJ$301,MATCH(274,'Sign-ups'!$AO$2:$AO$301,0)),"")</f>
        <v/>
      </c>
      <c r="I279" s="26">
        <f>IFERROR(INDEX('Sign-ups'!$AN$2:$AN$301,MATCH(274,'Sign-ups'!$AO$2:$AO$301,0)),"")</f>
        <v/>
      </c>
      <c r="J279" s="26">
        <f>IFERROR(INDEX('Sign-ups'!$AA$2:$AA$301,MATCH(274,'Sign-ups'!$AO$2:$AO$301,0))&amp;"","")</f>
        <v/>
      </c>
      <c r="K279" s="27">
        <f>IFERROR(INDEX('Sign-ups'!$AB$2:$AB$301,MATCH(274,'Sign-ups'!$AO$2:$AO$301,0))&amp;"","")</f>
        <v/>
      </c>
    </row>
    <row r="280">
      <c r="A280" s="26">
        <f>IF(ISNUMBER(MATCH(275,'Sign-ups'!$AO$2:$AO$301,0)),275,"")</f>
        <v/>
      </c>
      <c r="B280" s="27">
        <f>IFERROR(INDEX('Sign-ups'!$AE$2:$AE$301,MATCH(275,'Sign-ups'!$AO$2:$AO$301,0)),"")</f>
        <v/>
      </c>
      <c r="C280" s="27">
        <f>IFERROR(INDEX('Sign-ups'!$AF$2:$AF$301,MATCH(275,'Sign-ups'!$AO$2:$AO$301,0)),"")</f>
        <v/>
      </c>
      <c r="D280" s="27">
        <f>IFERROR(INDEX('Sign-ups'!$AG$2:$AG$301,MATCH(275,'Sign-ups'!$AO$2:$AO$301,0)),"")</f>
        <v/>
      </c>
      <c r="E280" s="27">
        <f>IFERROR(INDEX('Sign-ups'!$AH$2:$AH$301,MATCH(275,'Sign-ups'!$AO$2:$AO$301,0)),"")</f>
        <v/>
      </c>
      <c r="F280" s="27">
        <f>IFERROR(INDEX('Sign-ups'!$AI$2:$AI$301,MATCH(275,'Sign-ups'!$AO$2:$AO$301,0)),"")</f>
        <v/>
      </c>
      <c r="G280" s="27">
        <f>IFERROR(INDEX('Sign-ups'!$AK$2:$AK$301,MATCH(275,'Sign-ups'!$AO$2:$AO$301,0)),"")</f>
        <v/>
      </c>
      <c r="H280" s="26">
        <f>IFERROR(INDEX('Sign-ups'!$AJ$2:$AJ$301,MATCH(275,'Sign-ups'!$AO$2:$AO$301,0)),"")</f>
        <v/>
      </c>
      <c r="I280" s="26">
        <f>IFERROR(INDEX('Sign-ups'!$AN$2:$AN$301,MATCH(275,'Sign-ups'!$AO$2:$AO$301,0)),"")</f>
        <v/>
      </c>
      <c r="J280" s="26">
        <f>IFERROR(INDEX('Sign-ups'!$AA$2:$AA$301,MATCH(275,'Sign-ups'!$AO$2:$AO$301,0))&amp;"","")</f>
        <v/>
      </c>
      <c r="K280" s="27">
        <f>IFERROR(INDEX('Sign-ups'!$AB$2:$AB$301,MATCH(275,'Sign-ups'!$AO$2:$AO$301,0))&amp;"","")</f>
        <v/>
      </c>
    </row>
    <row r="281">
      <c r="A281" s="26">
        <f>IF(ISNUMBER(MATCH(276,'Sign-ups'!$AO$2:$AO$301,0)),276,"")</f>
        <v/>
      </c>
      <c r="B281" s="27">
        <f>IFERROR(INDEX('Sign-ups'!$AE$2:$AE$301,MATCH(276,'Sign-ups'!$AO$2:$AO$301,0)),"")</f>
        <v/>
      </c>
      <c r="C281" s="27">
        <f>IFERROR(INDEX('Sign-ups'!$AF$2:$AF$301,MATCH(276,'Sign-ups'!$AO$2:$AO$301,0)),"")</f>
        <v/>
      </c>
      <c r="D281" s="27">
        <f>IFERROR(INDEX('Sign-ups'!$AG$2:$AG$301,MATCH(276,'Sign-ups'!$AO$2:$AO$301,0)),"")</f>
        <v/>
      </c>
      <c r="E281" s="27">
        <f>IFERROR(INDEX('Sign-ups'!$AH$2:$AH$301,MATCH(276,'Sign-ups'!$AO$2:$AO$301,0)),"")</f>
        <v/>
      </c>
      <c r="F281" s="27">
        <f>IFERROR(INDEX('Sign-ups'!$AI$2:$AI$301,MATCH(276,'Sign-ups'!$AO$2:$AO$301,0)),"")</f>
        <v/>
      </c>
      <c r="G281" s="27">
        <f>IFERROR(INDEX('Sign-ups'!$AK$2:$AK$301,MATCH(276,'Sign-ups'!$AO$2:$AO$301,0)),"")</f>
        <v/>
      </c>
      <c r="H281" s="26">
        <f>IFERROR(INDEX('Sign-ups'!$AJ$2:$AJ$301,MATCH(276,'Sign-ups'!$AO$2:$AO$301,0)),"")</f>
        <v/>
      </c>
      <c r="I281" s="26">
        <f>IFERROR(INDEX('Sign-ups'!$AN$2:$AN$301,MATCH(276,'Sign-ups'!$AO$2:$AO$301,0)),"")</f>
        <v/>
      </c>
      <c r="J281" s="26">
        <f>IFERROR(INDEX('Sign-ups'!$AA$2:$AA$301,MATCH(276,'Sign-ups'!$AO$2:$AO$301,0))&amp;"","")</f>
        <v/>
      </c>
      <c r="K281" s="27">
        <f>IFERROR(INDEX('Sign-ups'!$AB$2:$AB$301,MATCH(276,'Sign-ups'!$AO$2:$AO$301,0))&amp;"","")</f>
        <v/>
      </c>
    </row>
    <row r="282">
      <c r="A282" s="26">
        <f>IF(ISNUMBER(MATCH(277,'Sign-ups'!$AO$2:$AO$301,0)),277,"")</f>
        <v/>
      </c>
      <c r="B282" s="27">
        <f>IFERROR(INDEX('Sign-ups'!$AE$2:$AE$301,MATCH(277,'Sign-ups'!$AO$2:$AO$301,0)),"")</f>
        <v/>
      </c>
      <c r="C282" s="27">
        <f>IFERROR(INDEX('Sign-ups'!$AF$2:$AF$301,MATCH(277,'Sign-ups'!$AO$2:$AO$301,0)),"")</f>
        <v/>
      </c>
      <c r="D282" s="27">
        <f>IFERROR(INDEX('Sign-ups'!$AG$2:$AG$301,MATCH(277,'Sign-ups'!$AO$2:$AO$301,0)),"")</f>
        <v/>
      </c>
      <c r="E282" s="27">
        <f>IFERROR(INDEX('Sign-ups'!$AH$2:$AH$301,MATCH(277,'Sign-ups'!$AO$2:$AO$301,0)),"")</f>
        <v/>
      </c>
      <c r="F282" s="27">
        <f>IFERROR(INDEX('Sign-ups'!$AI$2:$AI$301,MATCH(277,'Sign-ups'!$AO$2:$AO$301,0)),"")</f>
        <v/>
      </c>
      <c r="G282" s="27">
        <f>IFERROR(INDEX('Sign-ups'!$AK$2:$AK$301,MATCH(277,'Sign-ups'!$AO$2:$AO$301,0)),"")</f>
        <v/>
      </c>
      <c r="H282" s="26">
        <f>IFERROR(INDEX('Sign-ups'!$AJ$2:$AJ$301,MATCH(277,'Sign-ups'!$AO$2:$AO$301,0)),"")</f>
        <v/>
      </c>
      <c r="I282" s="26">
        <f>IFERROR(INDEX('Sign-ups'!$AN$2:$AN$301,MATCH(277,'Sign-ups'!$AO$2:$AO$301,0)),"")</f>
        <v/>
      </c>
      <c r="J282" s="26">
        <f>IFERROR(INDEX('Sign-ups'!$AA$2:$AA$301,MATCH(277,'Sign-ups'!$AO$2:$AO$301,0))&amp;"","")</f>
        <v/>
      </c>
      <c r="K282" s="27">
        <f>IFERROR(INDEX('Sign-ups'!$AB$2:$AB$301,MATCH(277,'Sign-ups'!$AO$2:$AO$301,0))&amp;"","")</f>
        <v/>
      </c>
    </row>
    <row r="283">
      <c r="A283" s="26">
        <f>IF(ISNUMBER(MATCH(278,'Sign-ups'!$AO$2:$AO$301,0)),278,"")</f>
        <v/>
      </c>
      <c r="B283" s="27">
        <f>IFERROR(INDEX('Sign-ups'!$AE$2:$AE$301,MATCH(278,'Sign-ups'!$AO$2:$AO$301,0)),"")</f>
        <v/>
      </c>
      <c r="C283" s="27">
        <f>IFERROR(INDEX('Sign-ups'!$AF$2:$AF$301,MATCH(278,'Sign-ups'!$AO$2:$AO$301,0)),"")</f>
        <v/>
      </c>
      <c r="D283" s="27">
        <f>IFERROR(INDEX('Sign-ups'!$AG$2:$AG$301,MATCH(278,'Sign-ups'!$AO$2:$AO$301,0)),"")</f>
        <v/>
      </c>
      <c r="E283" s="27">
        <f>IFERROR(INDEX('Sign-ups'!$AH$2:$AH$301,MATCH(278,'Sign-ups'!$AO$2:$AO$301,0)),"")</f>
        <v/>
      </c>
      <c r="F283" s="27">
        <f>IFERROR(INDEX('Sign-ups'!$AI$2:$AI$301,MATCH(278,'Sign-ups'!$AO$2:$AO$301,0)),"")</f>
        <v/>
      </c>
      <c r="G283" s="27">
        <f>IFERROR(INDEX('Sign-ups'!$AK$2:$AK$301,MATCH(278,'Sign-ups'!$AO$2:$AO$301,0)),"")</f>
        <v/>
      </c>
      <c r="H283" s="26">
        <f>IFERROR(INDEX('Sign-ups'!$AJ$2:$AJ$301,MATCH(278,'Sign-ups'!$AO$2:$AO$301,0)),"")</f>
        <v/>
      </c>
      <c r="I283" s="26">
        <f>IFERROR(INDEX('Sign-ups'!$AN$2:$AN$301,MATCH(278,'Sign-ups'!$AO$2:$AO$301,0)),"")</f>
        <v/>
      </c>
      <c r="J283" s="26">
        <f>IFERROR(INDEX('Sign-ups'!$AA$2:$AA$301,MATCH(278,'Sign-ups'!$AO$2:$AO$301,0))&amp;"","")</f>
        <v/>
      </c>
      <c r="K283" s="27">
        <f>IFERROR(INDEX('Sign-ups'!$AB$2:$AB$301,MATCH(278,'Sign-ups'!$AO$2:$AO$301,0))&amp;"","")</f>
        <v/>
      </c>
    </row>
    <row r="284">
      <c r="A284" s="26">
        <f>IF(ISNUMBER(MATCH(279,'Sign-ups'!$AO$2:$AO$301,0)),279,"")</f>
        <v/>
      </c>
      <c r="B284" s="27">
        <f>IFERROR(INDEX('Sign-ups'!$AE$2:$AE$301,MATCH(279,'Sign-ups'!$AO$2:$AO$301,0)),"")</f>
        <v/>
      </c>
      <c r="C284" s="27">
        <f>IFERROR(INDEX('Sign-ups'!$AF$2:$AF$301,MATCH(279,'Sign-ups'!$AO$2:$AO$301,0)),"")</f>
        <v/>
      </c>
      <c r="D284" s="27">
        <f>IFERROR(INDEX('Sign-ups'!$AG$2:$AG$301,MATCH(279,'Sign-ups'!$AO$2:$AO$301,0)),"")</f>
        <v/>
      </c>
      <c r="E284" s="27">
        <f>IFERROR(INDEX('Sign-ups'!$AH$2:$AH$301,MATCH(279,'Sign-ups'!$AO$2:$AO$301,0)),"")</f>
        <v/>
      </c>
      <c r="F284" s="27">
        <f>IFERROR(INDEX('Sign-ups'!$AI$2:$AI$301,MATCH(279,'Sign-ups'!$AO$2:$AO$301,0)),"")</f>
        <v/>
      </c>
      <c r="G284" s="27">
        <f>IFERROR(INDEX('Sign-ups'!$AK$2:$AK$301,MATCH(279,'Sign-ups'!$AO$2:$AO$301,0)),"")</f>
        <v/>
      </c>
      <c r="H284" s="26">
        <f>IFERROR(INDEX('Sign-ups'!$AJ$2:$AJ$301,MATCH(279,'Sign-ups'!$AO$2:$AO$301,0)),"")</f>
        <v/>
      </c>
      <c r="I284" s="26">
        <f>IFERROR(INDEX('Sign-ups'!$AN$2:$AN$301,MATCH(279,'Sign-ups'!$AO$2:$AO$301,0)),"")</f>
        <v/>
      </c>
      <c r="J284" s="26">
        <f>IFERROR(INDEX('Sign-ups'!$AA$2:$AA$301,MATCH(279,'Sign-ups'!$AO$2:$AO$301,0))&amp;"","")</f>
        <v/>
      </c>
      <c r="K284" s="27">
        <f>IFERROR(INDEX('Sign-ups'!$AB$2:$AB$301,MATCH(279,'Sign-ups'!$AO$2:$AO$301,0))&amp;"","")</f>
        <v/>
      </c>
    </row>
    <row r="285">
      <c r="A285" s="26">
        <f>IF(ISNUMBER(MATCH(280,'Sign-ups'!$AO$2:$AO$301,0)),280,"")</f>
        <v/>
      </c>
      <c r="B285" s="27">
        <f>IFERROR(INDEX('Sign-ups'!$AE$2:$AE$301,MATCH(280,'Sign-ups'!$AO$2:$AO$301,0)),"")</f>
        <v/>
      </c>
      <c r="C285" s="27">
        <f>IFERROR(INDEX('Sign-ups'!$AF$2:$AF$301,MATCH(280,'Sign-ups'!$AO$2:$AO$301,0)),"")</f>
        <v/>
      </c>
      <c r="D285" s="27">
        <f>IFERROR(INDEX('Sign-ups'!$AG$2:$AG$301,MATCH(280,'Sign-ups'!$AO$2:$AO$301,0)),"")</f>
        <v/>
      </c>
      <c r="E285" s="27">
        <f>IFERROR(INDEX('Sign-ups'!$AH$2:$AH$301,MATCH(280,'Sign-ups'!$AO$2:$AO$301,0)),"")</f>
        <v/>
      </c>
      <c r="F285" s="27">
        <f>IFERROR(INDEX('Sign-ups'!$AI$2:$AI$301,MATCH(280,'Sign-ups'!$AO$2:$AO$301,0)),"")</f>
        <v/>
      </c>
      <c r="G285" s="27">
        <f>IFERROR(INDEX('Sign-ups'!$AK$2:$AK$301,MATCH(280,'Sign-ups'!$AO$2:$AO$301,0)),"")</f>
        <v/>
      </c>
      <c r="H285" s="26">
        <f>IFERROR(INDEX('Sign-ups'!$AJ$2:$AJ$301,MATCH(280,'Sign-ups'!$AO$2:$AO$301,0)),"")</f>
        <v/>
      </c>
      <c r="I285" s="26">
        <f>IFERROR(INDEX('Sign-ups'!$AN$2:$AN$301,MATCH(280,'Sign-ups'!$AO$2:$AO$301,0)),"")</f>
        <v/>
      </c>
      <c r="J285" s="26">
        <f>IFERROR(INDEX('Sign-ups'!$AA$2:$AA$301,MATCH(280,'Sign-ups'!$AO$2:$AO$301,0))&amp;"","")</f>
        <v/>
      </c>
      <c r="K285" s="27">
        <f>IFERROR(INDEX('Sign-ups'!$AB$2:$AB$301,MATCH(280,'Sign-ups'!$AO$2:$AO$301,0))&amp;"","")</f>
        <v/>
      </c>
    </row>
    <row r="286">
      <c r="A286" s="26">
        <f>IF(ISNUMBER(MATCH(281,'Sign-ups'!$AO$2:$AO$301,0)),281,"")</f>
        <v/>
      </c>
      <c r="B286" s="27">
        <f>IFERROR(INDEX('Sign-ups'!$AE$2:$AE$301,MATCH(281,'Sign-ups'!$AO$2:$AO$301,0)),"")</f>
        <v/>
      </c>
      <c r="C286" s="27">
        <f>IFERROR(INDEX('Sign-ups'!$AF$2:$AF$301,MATCH(281,'Sign-ups'!$AO$2:$AO$301,0)),"")</f>
        <v/>
      </c>
      <c r="D286" s="27">
        <f>IFERROR(INDEX('Sign-ups'!$AG$2:$AG$301,MATCH(281,'Sign-ups'!$AO$2:$AO$301,0)),"")</f>
        <v/>
      </c>
      <c r="E286" s="27">
        <f>IFERROR(INDEX('Sign-ups'!$AH$2:$AH$301,MATCH(281,'Sign-ups'!$AO$2:$AO$301,0)),"")</f>
        <v/>
      </c>
      <c r="F286" s="27">
        <f>IFERROR(INDEX('Sign-ups'!$AI$2:$AI$301,MATCH(281,'Sign-ups'!$AO$2:$AO$301,0)),"")</f>
        <v/>
      </c>
      <c r="G286" s="27">
        <f>IFERROR(INDEX('Sign-ups'!$AK$2:$AK$301,MATCH(281,'Sign-ups'!$AO$2:$AO$301,0)),"")</f>
        <v/>
      </c>
      <c r="H286" s="26">
        <f>IFERROR(INDEX('Sign-ups'!$AJ$2:$AJ$301,MATCH(281,'Sign-ups'!$AO$2:$AO$301,0)),"")</f>
        <v/>
      </c>
      <c r="I286" s="26">
        <f>IFERROR(INDEX('Sign-ups'!$AN$2:$AN$301,MATCH(281,'Sign-ups'!$AO$2:$AO$301,0)),"")</f>
        <v/>
      </c>
      <c r="J286" s="26">
        <f>IFERROR(INDEX('Sign-ups'!$AA$2:$AA$301,MATCH(281,'Sign-ups'!$AO$2:$AO$301,0))&amp;"","")</f>
        <v/>
      </c>
      <c r="K286" s="27">
        <f>IFERROR(INDEX('Sign-ups'!$AB$2:$AB$301,MATCH(281,'Sign-ups'!$AO$2:$AO$301,0))&amp;"","")</f>
        <v/>
      </c>
    </row>
    <row r="287">
      <c r="A287" s="26">
        <f>IF(ISNUMBER(MATCH(282,'Sign-ups'!$AO$2:$AO$301,0)),282,"")</f>
        <v/>
      </c>
      <c r="B287" s="27">
        <f>IFERROR(INDEX('Sign-ups'!$AE$2:$AE$301,MATCH(282,'Sign-ups'!$AO$2:$AO$301,0)),"")</f>
        <v/>
      </c>
      <c r="C287" s="27">
        <f>IFERROR(INDEX('Sign-ups'!$AF$2:$AF$301,MATCH(282,'Sign-ups'!$AO$2:$AO$301,0)),"")</f>
        <v/>
      </c>
      <c r="D287" s="27">
        <f>IFERROR(INDEX('Sign-ups'!$AG$2:$AG$301,MATCH(282,'Sign-ups'!$AO$2:$AO$301,0)),"")</f>
        <v/>
      </c>
      <c r="E287" s="27">
        <f>IFERROR(INDEX('Sign-ups'!$AH$2:$AH$301,MATCH(282,'Sign-ups'!$AO$2:$AO$301,0)),"")</f>
        <v/>
      </c>
      <c r="F287" s="27">
        <f>IFERROR(INDEX('Sign-ups'!$AI$2:$AI$301,MATCH(282,'Sign-ups'!$AO$2:$AO$301,0)),"")</f>
        <v/>
      </c>
      <c r="G287" s="27">
        <f>IFERROR(INDEX('Sign-ups'!$AK$2:$AK$301,MATCH(282,'Sign-ups'!$AO$2:$AO$301,0)),"")</f>
        <v/>
      </c>
      <c r="H287" s="26">
        <f>IFERROR(INDEX('Sign-ups'!$AJ$2:$AJ$301,MATCH(282,'Sign-ups'!$AO$2:$AO$301,0)),"")</f>
        <v/>
      </c>
      <c r="I287" s="26">
        <f>IFERROR(INDEX('Sign-ups'!$AN$2:$AN$301,MATCH(282,'Sign-ups'!$AO$2:$AO$301,0)),"")</f>
        <v/>
      </c>
      <c r="J287" s="26">
        <f>IFERROR(INDEX('Sign-ups'!$AA$2:$AA$301,MATCH(282,'Sign-ups'!$AO$2:$AO$301,0))&amp;"","")</f>
        <v/>
      </c>
      <c r="K287" s="27">
        <f>IFERROR(INDEX('Sign-ups'!$AB$2:$AB$301,MATCH(282,'Sign-ups'!$AO$2:$AO$301,0))&amp;"","")</f>
        <v/>
      </c>
    </row>
    <row r="288">
      <c r="A288" s="26">
        <f>IF(ISNUMBER(MATCH(283,'Sign-ups'!$AO$2:$AO$301,0)),283,"")</f>
        <v/>
      </c>
      <c r="B288" s="27">
        <f>IFERROR(INDEX('Sign-ups'!$AE$2:$AE$301,MATCH(283,'Sign-ups'!$AO$2:$AO$301,0)),"")</f>
        <v/>
      </c>
      <c r="C288" s="27">
        <f>IFERROR(INDEX('Sign-ups'!$AF$2:$AF$301,MATCH(283,'Sign-ups'!$AO$2:$AO$301,0)),"")</f>
        <v/>
      </c>
      <c r="D288" s="27">
        <f>IFERROR(INDEX('Sign-ups'!$AG$2:$AG$301,MATCH(283,'Sign-ups'!$AO$2:$AO$301,0)),"")</f>
        <v/>
      </c>
      <c r="E288" s="27">
        <f>IFERROR(INDEX('Sign-ups'!$AH$2:$AH$301,MATCH(283,'Sign-ups'!$AO$2:$AO$301,0)),"")</f>
        <v/>
      </c>
      <c r="F288" s="27">
        <f>IFERROR(INDEX('Sign-ups'!$AI$2:$AI$301,MATCH(283,'Sign-ups'!$AO$2:$AO$301,0)),"")</f>
        <v/>
      </c>
      <c r="G288" s="27">
        <f>IFERROR(INDEX('Sign-ups'!$AK$2:$AK$301,MATCH(283,'Sign-ups'!$AO$2:$AO$301,0)),"")</f>
        <v/>
      </c>
      <c r="H288" s="26">
        <f>IFERROR(INDEX('Sign-ups'!$AJ$2:$AJ$301,MATCH(283,'Sign-ups'!$AO$2:$AO$301,0)),"")</f>
        <v/>
      </c>
      <c r="I288" s="26">
        <f>IFERROR(INDEX('Sign-ups'!$AN$2:$AN$301,MATCH(283,'Sign-ups'!$AO$2:$AO$301,0)),"")</f>
        <v/>
      </c>
      <c r="J288" s="26">
        <f>IFERROR(INDEX('Sign-ups'!$AA$2:$AA$301,MATCH(283,'Sign-ups'!$AO$2:$AO$301,0))&amp;"","")</f>
        <v/>
      </c>
      <c r="K288" s="27">
        <f>IFERROR(INDEX('Sign-ups'!$AB$2:$AB$301,MATCH(283,'Sign-ups'!$AO$2:$AO$301,0))&amp;"","")</f>
        <v/>
      </c>
    </row>
    <row r="289">
      <c r="A289" s="26">
        <f>IF(ISNUMBER(MATCH(284,'Sign-ups'!$AO$2:$AO$301,0)),284,"")</f>
        <v/>
      </c>
      <c r="B289" s="27">
        <f>IFERROR(INDEX('Sign-ups'!$AE$2:$AE$301,MATCH(284,'Sign-ups'!$AO$2:$AO$301,0)),"")</f>
        <v/>
      </c>
      <c r="C289" s="27">
        <f>IFERROR(INDEX('Sign-ups'!$AF$2:$AF$301,MATCH(284,'Sign-ups'!$AO$2:$AO$301,0)),"")</f>
        <v/>
      </c>
      <c r="D289" s="27">
        <f>IFERROR(INDEX('Sign-ups'!$AG$2:$AG$301,MATCH(284,'Sign-ups'!$AO$2:$AO$301,0)),"")</f>
        <v/>
      </c>
      <c r="E289" s="27">
        <f>IFERROR(INDEX('Sign-ups'!$AH$2:$AH$301,MATCH(284,'Sign-ups'!$AO$2:$AO$301,0)),"")</f>
        <v/>
      </c>
      <c r="F289" s="27">
        <f>IFERROR(INDEX('Sign-ups'!$AI$2:$AI$301,MATCH(284,'Sign-ups'!$AO$2:$AO$301,0)),"")</f>
        <v/>
      </c>
      <c r="G289" s="27">
        <f>IFERROR(INDEX('Sign-ups'!$AK$2:$AK$301,MATCH(284,'Sign-ups'!$AO$2:$AO$301,0)),"")</f>
        <v/>
      </c>
      <c r="H289" s="26">
        <f>IFERROR(INDEX('Sign-ups'!$AJ$2:$AJ$301,MATCH(284,'Sign-ups'!$AO$2:$AO$301,0)),"")</f>
        <v/>
      </c>
      <c r="I289" s="26">
        <f>IFERROR(INDEX('Sign-ups'!$AN$2:$AN$301,MATCH(284,'Sign-ups'!$AO$2:$AO$301,0)),"")</f>
        <v/>
      </c>
      <c r="J289" s="26">
        <f>IFERROR(INDEX('Sign-ups'!$AA$2:$AA$301,MATCH(284,'Sign-ups'!$AO$2:$AO$301,0))&amp;"","")</f>
        <v/>
      </c>
      <c r="K289" s="27">
        <f>IFERROR(INDEX('Sign-ups'!$AB$2:$AB$301,MATCH(284,'Sign-ups'!$AO$2:$AO$301,0))&amp;"","")</f>
        <v/>
      </c>
    </row>
    <row r="290">
      <c r="A290" s="26">
        <f>IF(ISNUMBER(MATCH(285,'Sign-ups'!$AO$2:$AO$301,0)),285,"")</f>
        <v/>
      </c>
      <c r="B290" s="27">
        <f>IFERROR(INDEX('Sign-ups'!$AE$2:$AE$301,MATCH(285,'Sign-ups'!$AO$2:$AO$301,0)),"")</f>
        <v/>
      </c>
      <c r="C290" s="27">
        <f>IFERROR(INDEX('Sign-ups'!$AF$2:$AF$301,MATCH(285,'Sign-ups'!$AO$2:$AO$301,0)),"")</f>
        <v/>
      </c>
      <c r="D290" s="27">
        <f>IFERROR(INDEX('Sign-ups'!$AG$2:$AG$301,MATCH(285,'Sign-ups'!$AO$2:$AO$301,0)),"")</f>
        <v/>
      </c>
      <c r="E290" s="27">
        <f>IFERROR(INDEX('Sign-ups'!$AH$2:$AH$301,MATCH(285,'Sign-ups'!$AO$2:$AO$301,0)),"")</f>
        <v/>
      </c>
      <c r="F290" s="27">
        <f>IFERROR(INDEX('Sign-ups'!$AI$2:$AI$301,MATCH(285,'Sign-ups'!$AO$2:$AO$301,0)),"")</f>
        <v/>
      </c>
      <c r="G290" s="27">
        <f>IFERROR(INDEX('Sign-ups'!$AK$2:$AK$301,MATCH(285,'Sign-ups'!$AO$2:$AO$301,0)),"")</f>
        <v/>
      </c>
      <c r="H290" s="26">
        <f>IFERROR(INDEX('Sign-ups'!$AJ$2:$AJ$301,MATCH(285,'Sign-ups'!$AO$2:$AO$301,0)),"")</f>
        <v/>
      </c>
      <c r="I290" s="26">
        <f>IFERROR(INDEX('Sign-ups'!$AN$2:$AN$301,MATCH(285,'Sign-ups'!$AO$2:$AO$301,0)),"")</f>
        <v/>
      </c>
      <c r="J290" s="26">
        <f>IFERROR(INDEX('Sign-ups'!$AA$2:$AA$301,MATCH(285,'Sign-ups'!$AO$2:$AO$301,0))&amp;"","")</f>
        <v/>
      </c>
      <c r="K290" s="27">
        <f>IFERROR(INDEX('Sign-ups'!$AB$2:$AB$301,MATCH(285,'Sign-ups'!$AO$2:$AO$301,0))&amp;"","")</f>
        <v/>
      </c>
    </row>
    <row r="291">
      <c r="A291" s="26">
        <f>IF(ISNUMBER(MATCH(286,'Sign-ups'!$AO$2:$AO$301,0)),286,"")</f>
        <v/>
      </c>
      <c r="B291" s="27">
        <f>IFERROR(INDEX('Sign-ups'!$AE$2:$AE$301,MATCH(286,'Sign-ups'!$AO$2:$AO$301,0)),"")</f>
        <v/>
      </c>
      <c r="C291" s="27">
        <f>IFERROR(INDEX('Sign-ups'!$AF$2:$AF$301,MATCH(286,'Sign-ups'!$AO$2:$AO$301,0)),"")</f>
        <v/>
      </c>
      <c r="D291" s="27">
        <f>IFERROR(INDEX('Sign-ups'!$AG$2:$AG$301,MATCH(286,'Sign-ups'!$AO$2:$AO$301,0)),"")</f>
        <v/>
      </c>
      <c r="E291" s="27">
        <f>IFERROR(INDEX('Sign-ups'!$AH$2:$AH$301,MATCH(286,'Sign-ups'!$AO$2:$AO$301,0)),"")</f>
        <v/>
      </c>
      <c r="F291" s="27">
        <f>IFERROR(INDEX('Sign-ups'!$AI$2:$AI$301,MATCH(286,'Sign-ups'!$AO$2:$AO$301,0)),"")</f>
        <v/>
      </c>
      <c r="G291" s="27">
        <f>IFERROR(INDEX('Sign-ups'!$AK$2:$AK$301,MATCH(286,'Sign-ups'!$AO$2:$AO$301,0)),"")</f>
        <v/>
      </c>
      <c r="H291" s="26">
        <f>IFERROR(INDEX('Sign-ups'!$AJ$2:$AJ$301,MATCH(286,'Sign-ups'!$AO$2:$AO$301,0)),"")</f>
        <v/>
      </c>
      <c r="I291" s="26">
        <f>IFERROR(INDEX('Sign-ups'!$AN$2:$AN$301,MATCH(286,'Sign-ups'!$AO$2:$AO$301,0)),"")</f>
        <v/>
      </c>
      <c r="J291" s="26">
        <f>IFERROR(INDEX('Sign-ups'!$AA$2:$AA$301,MATCH(286,'Sign-ups'!$AO$2:$AO$301,0))&amp;"","")</f>
        <v/>
      </c>
      <c r="K291" s="27">
        <f>IFERROR(INDEX('Sign-ups'!$AB$2:$AB$301,MATCH(286,'Sign-ups'!$AO$2:$AO$301,0))&amp;"","")</f>
        <v/>
      </c>
    </row>
    <row r="292">
      <c r="A292" s="26">
        <f>IF(ISNUMBER(MATCH(287,'Sign-ups'!$AO$2:$AO$301,0)),287,"")</f>
        <v/>
      </c>
      <c r="B292" s="27">
        <f>IFERROR(INDEX('Sign-ups'!$AE$2:$AE$301,MATCH(287,'Sign-ups'!$AO$2:$AO$301,0)),"")</f>
        <v/>
      </c>
      <c r="C292" s="27">
        <f>IFERROR(INDEX('Sign-ups'!$AF$2:$AF$301,MATCH(287,'Sign-ups'!$AO$2:$AO$301,0)),"")</f>
        <v/>
      </c>
      <c r="D292" s="27">
        <f>IFERROR(INDEX('Sign-ups'!$AG$2:$AG$301,MATCH(287,'Sign-ups'!$AO$2:$AO$301,0)),"")</f>
        <v/>
      </c>
      <c r="E292" s="27">
        <f>IFERROR(INDEX('Sign-ups'!$AH$2:$AH$301,MATCH(287,'Sign-ups'!$AO$2:$AO$301,0)),"")</f>
        <v/>
      </c>
      <c r="F292" s="27">
        <f>IFERROR(INDEX('Sign-ups'!$AI$2:$AI$301,MATCH(287,'Sign-ups'!$AO$2:$AO$301,0)),"")</f>
        <v/>
      </c>
      <c r="G292" s="27">
        <f>IFERROR(INDEX('Sign-ups'!$AK$2:$AK$301,MATCH(287,'Sign-ups'!$AO$2:$AO$301,0)),"")</f>
        <v/>
      </c>
      <c r="H292" s="26">
        <f>IFERROR(INDEX('Sign-ups'!$AJ$2:$AJ$301,MATCH(287,'Sign-ups'!$AO$2:$AO$301,0)),"")</f>
        <v/>
      </c>
      <c r="I292" s="26">
        <f>IFERROR(INDEX('Sign-ups'!$AN$2:$AN$301,MATCH(287,'Sign-ups'!$AO$2:$AO$301,0)),"")</f>
        <v/>
      </c>
      <c r="J292" s="26">
        <f>IFERROR(INDEX('Sign-ups'!$AA$2:$AA$301,MATCH(287,'Sign-ups'!$AO$2:$AO$301,0))&amp;"","")</f>
        <v/>
      </c>
      <c r="K292" s="27">
        <f>IFERROR(INDEX('Sign-ups'!$AB$2:$AB$301,MATCH(287,'Sign-ups'!$AO$2:$AO$301,0))&amp;"","")</f>
        <v/>
      </c>
    </row>
    <row r="293">
      <c r="A293" s="26">
        <f>IF(ISNUMBER(MATCH(288,'Sign-ups'!$AO$2:$AO$301,0)),288,"")</f>
        <v/>
      </c>
      <c r="B293" s="27">
        <f>IFERROR(INDEX('Sign-ups'!$AE$2:$AE$301,MATCH(288,'Sign-ups'!$AO$2:$AO$301,0)),"")</f>
        <v/>
      </c>
      <c r="C293" s="27">
        <f>IFERROR(INDEX('Sign-ups'!$AF$2:$AF$301,MATCH(288,'Sign-ups'!$AO$2:$AO$301,0)),"")</f>
        <v/>
      </c>
      <c r="D293" s="27">
        <f>IFERROR(INDEX('Sign-ups'!$AG$2:$AG$301,MATCH(288,'Sign-ups'!$AO$2:$AO$301,0)),"")</f>
        <v/>
      </c>
      <c r="E293" s="27">
        <f>IFERROR(INDEX('Sign-ups'!$AH$2:$AH$301,MATCH(288,'Sign-ups'!$AO$2:$AO$301,0)),"")</f>
        <v/>
      </c>
      <c r="F293" s="27">
        <f>IFERROR(INDEX('Sign-ups'!$AI$2:$AI$301,MATCH(288,'Sign-ups'!$AO$2:$AO$301,0)),"")</f>
        <v/>
      </c>
      <c r="G293" s="27">
        <f>IFERROR(INDEX('Sign-ups'!$AK$2:$AK$301,MATCH(288,'Sign-ups'!$AO$2:$AO$301,0)),"")</f>
        <v/>
      </c>
      <c r="H293" s="26">
        <f>IFERROR(INDEX('Sign-ups'!$AJ$2:$AJ$301,MATCH(288,'Sign-ups'!$AO$2:$AO$301,0)),"")</f>
        <v/>
      </c>
      <c r="I293" s="26">
        <f>IFERROR(INDEX('Sign-ups'!$AN$2:$AN$301,MATCH(288,'Sign-ups'!$AO$2:$AO$301,0)),"")</f>
        <v/>
      </c>
      <c r="J293" s="26">
        <f>IFERROR(INDEX('Sign-ups'!$AA$2:$AA$301,MATCH(288,'Sign-ups'!$AO$2:$AO$301,0))&amp;"","")</f>
        <v/>
      </c>
      <c r="K293" s="27">
        <f>IFERROR(INDEX('Sign-ups'!$AB$2:$AB$301,MATCH(288,'Sign-ups'!$AO$2:$AO$301,0))&amp;"","")</f>
        <v/>
      </c>
    </row>
    <row r="294">
      <c r="A294" s="26">
        <f>IF(ISNUMBER(MATCH(289,'Sign-ups'!$AO$2:$AO$301,0)),289,"")</f>
        <v/>
      </c>
      <c r="B294" s="27">
        <f>IFERROR(INDEX('Sign-ups'!$AE$2:$AE$301,MATCH(289,'Sign-ups'!$AO$2:$AO$301,0)),"")</f>
        <v/>
      </c>
      <c r="C294" s="27">
        <f>IFERROR(INDEX('Sign-ups'!$AF$2:$AF$301,MATCH(289,'Sign-ups'!$AO$2:$AO$301,0)),"")</f>
        <v/>
      </c>
      <c r="D294" s="27">
        <f>IFERROR(INDEX('Sign-ups'!$AG$2:$AG$301,MATCH(289,'Sign-ups'!$AO$2:$AO$301,0)),"")</f>
        <v/>
      </c>
      <c r="E294" s="27">
        <f>IFERROR(INDEX('Sign-ups'!$AH$2:$AH$301,MATCH(289,'Sign-ups'!$AO$2:$AO$301,0)),"")</f>
        <v/>
      </c>
      <c r="F294" s="27">
        <f>IFERROR(INDEX('Sign-ups'!$AI$2:$AI$301,MATCH(289,'Sign-ups'!$AO$2:$AO$301,0)),"")</f>
        <v/>
      </c>
      <c r="G294" s="27">
        <f>IFERROR(INDEX('Sign-ups'!$AK$2:$AK$301,MATCH(289,'Sign-ups'!$AO$2:$AO$301,0)),"")</f>
        <v/>
      </c>
      <c r="H294" s="26">
        <f>IFERROR(INDEX('Sign-ups'!$AJ$2:$AJ$301,MATCH(289,'Sign-ups'!$AO$2:$AO$301,0)),"")</f>
        <v/>
      </c>
      <c r="I294" s="26">
        <f>IFERROR(INDEX('Sign-ups'!$AN$2:$AN$301,MATCH(289,'Sign-ups'!$AO$2:$AO$301,0)),"")</f>
        <v/>
      </c>
      <c r="J294" s="26">
        <f>IFERROR(INDEX('Sign-ups'!$AA$2:$AA$301,MATCH(289,'Sign-ups'!$AO$2:$AO$301,0))&amp;"","")</f>
        <v/>
      </c>
      <c r="K294" s="27">
        <f>IFERROR(INDEX('Sign-ups'!$AB$2:$AB$301,MATCH(289,'Sign-ups'!$AO$2:$AO$301,0))&amp;"","")</f>
        <v/>
      </c>
    </row>
    <row r="295">
      <c r="A295" s="26">
        <f>IF(ISNUMBER(MATCH(290,'Sign-ups'!$AO$2:$AO$301,0)),290,"")</f>
        <v/>
      </c>
      <c r="B295" s="27">
        <f>IFERROR(INDEX('Sign-ups'!$AE$2:$AE$301,MATCH(290,'Sign-ups'!$AO$2:$AO$301,0)),"")</f>
        <v/>
      </c>
      <c r="C295" s="27">
        <f>IFERROR(INDEX('Sign-ups'!$AF$2:$AF$301,MATCH(290,'Sign-ups'!$AO$2:$AO$301,0)),"")</f>
        <v/>
      </c>
      <c r="D295" s="27">
        <f>IFERROR(INDEX('Sign-ups'!$AG$2:$AG$301,MATCH(290,'Sign-ups'!$AO$2:$AO$301,0)),"")</f>
        <v/>
      </c>
      <c r="E295" s="27">
        <f>IFERROR(INDEX('Sign-ups'!$AH$2:$AH$301,MATCH(290,'Sign-ups'!$AO$2:$AO$301,0)),"")</f>
        <v/>
      </c>
      <c r="F295" s="27">
        <f>IFERROR(INDEX('Sign-ups'!$AI$2:$AI$301,MATCH(290,'Sign-ups'!$AO$2:$AO$301,0)),"")</f>
        <v/>
      </c>
      <c r="G295" s="27">
        <f>IFERROR(INDEX('Sign-ups'!$AK$2:$AK$301,MATCH(290,'Sign-ups'!$AO$2:$AO$301,0)),"")</f>
        <v/>
      </c>
      <c r="H295" s="26">
        <f>IFERROR(INDEX('Sign-ups'!$AJ$2:$AJ$301,MATCH(290,'Sign-ups'!$AO$2:$AO$301,0)),"")</f>
        <v/>
      </c>
      <c r="I295" s="26">
        <f>IFERROR(INDEX('Sign-ups'!$AN$2:$AN$301,MATCH(290,'Sign-ups'!$AO$2:$AO$301,0)),"")</f>
        <v/>
      </c>
      <c r="J295" s="26">
        <f>IFERROR(INDEX('Sign-ups'!$AA$2:$AA$301,MATCH(290,'Sign-ups'!$AO$2:$AO$301,0))&amp;"","")</f>
        <v/>
      </c>
      <c r="K295" s="27">
        <f>IFERROR(INDEX('Sign-ups'!$AB$2:$AB$301,MATCH(290,'Sign-ups'!$AO$2:$AO$301,0))&amp;"","")</f>
        <v/>
      </c>
    </row>
    <row r="296">
      <c r="A296" s="26">
        <f>IF(ISNUMBER(MATCH(291,'Sign-ups'!$AO$2:$AO$301,0)),291,"")</f>
        <v/>
      </c>
      <c r="B296" s="27">
        <f>IFERROR(INDEX('Sign-ups'!$AE$2:$AE$301,MATCH(291,'Sign-ups'!$AO$2:$AO$301,0)),"")</f>
        <v/>
      </c>
      <c r="C296" s="27">
        <f>IFERROR(INDEX('Sign-ups'!$AF$2:$AF$301,MATCH(291,'Sign-ups'!$AO$2:$AO$301,0)),"")</f>
        <v/>
      </c>
      <c r="D296" s="27">
        <f>IFERROR(INDEX('Sign-ups'!$AG$2:$AG$301,MATCH(291,'Sign-ups'!$AO$2:$AO$301,0)),"")</f>
        <v/>
      </c>
      <c r="E296" s="27">
        <f>IFERROR(INDEX('Sign-ups'!$AH$2:$AH$301,MATCH(291,'Sign-ups'!$AO$2:$AO$301,0)),"")</f>
        <v/>
      </c>
      <c r="F296" s="27">
        <f>IFERROR(INDEX('Sign-ups'!$AI$2:$AI$301,MATCH(291,'Sign-ups'!$AO$2:$AO$301,0)),"")</f>
        <v/>
      </c>
      <c r="G296" s="27">
        <f>IFERROR(INDEX('Sign-ups'!$AK$2:$AK$301,MATCH(291,'Sign-ups'!$AO$2:$AO$301,0)),"")</f>
        <v/>
      </c>
      <c r="H296" s="26">
        <f>IFERROR(INDEX('Sign-ups'!$AJ$2:$AJ$301,MATCH(291,'Sign-ups'!$AO$2:$AO$301,0)),"")</f>
        <v/>
      </c>
      <c r="I296" s="26">
        <f>IFERROR(INDEX('Sign-ups'!$AN$2:$AN$301,MATCH(291,'Sign-ups'!$AO$2:$AO$301,0)),"")</f>
        <v/>
      </c>
      <c r="J296" s="26">
        <f>IFERROR(INDEX('Sign-ups'!$AA$2:$AA$301,MATCH(291,'Sign-ups'!$AO$2:$AO$301,0))&amp;"","")</f>
        <v/>
      </c>
      <c r="K296" s="27">
        <f>IFERROR(INDEX('Sign-ups'!$AB$2:$AB$301,MATCH(291,'Sign-ups'!$AO$2:$AO$301,0))&amp;"","")</f>
        <v/>
      </c>
    </row>
    <row r="297">
      <c r="A297" s="26">
        <f>IF(ISNUMBER(MATCH(292,'Sign-ups'!$AO$2:$AO$301,0)),292,"")</f>
        <v/>
      </c>
      <c r="B297" s="27">
        <f>IFERROR(INDEX('Sign-ups'!$AE$2:$AE$301,MATCH(292,'Sign-ups'!$AO$2:$AO$301,0)),"")</f>
        <v/>
      </c>
      <c r="C297" s="27">
        <f>IFERROR(INDEX('Sign-ups'!$AF$2:$AF$301,MATCH(292,'Sign-ups'!$AO$2:$AO$301,0)),"")</f>
        <v/>
      </c>
      <c r="D297" s="27">
        <f>IFERROR(INDEX('Sign-ups'!$AG$2:$AG$301,MATCH(292,'Sign-ups'!$AO$2:$AO$301,0)),"")</f>
        <v/>
      </c>
      <c r="E297" s="27">
        <f>IFERROR(INDEX('Sign-ups'!$AH$2:$AH$301,MATCH(292,'Sign-ups'!$AO$2:$AO$301,0)),"")</f>
        <v/>
      </c>
      <c r="F297" s="27">
        <f>IFERROR(INDEX('Sign-ups'!$AI$2:$AI$301,MATCH(292,'Sign-ups'!$AO$2:$AO$301,0)),"")</f>
        <v/>
      </c>
      <c r="G297" s="27">
        <f>IFERROR(INDEX('Sign-ups'!$AK$2:$AK$301,MATCH(292,'Sign-ups'!$AO$2:$AO$301,0)),"")</f>
        <v/>
      </c>
      <c r="H297" s="26">
        <f>IFERROR(INDEX('Sign-ups'!$AJ$2:$AJ$301,MATCH(292,'Sign-ups'!$AO$2:$AO$301,0)),"")</f>
        <v/>
      </c>
      <c r="I297" s="26">
        <f>IFERROR(INDEX('Sign-ups'!$AN$2:$AN$301,MATCH(292,'Sign-ups'!$AO$2:$AO$301,0)),"")</f>
        <v/>
      </c>
      <c r="J297" s="26">
        <f>IFERROR(INDEX('Sign-ups'!$AA$2:$AA$301,MATCH(292,'Sign-ups'!$AO$2:$AO$301,0))&amp;"","")</f>
        <v/>
      </c>
      <c r="K297" s="27">
        <f>IFERROR(INDEX('Sign-ups'!$AB$2:$AB$301,MATCH(292,'Sign-ups'!$AO$2:$AO$301,0))&amp;"","")</f>
        <v/>
      </c>
    </row>
    <row r="298">
      <c r="A298" s="26">
        <f>IF(ISNUMBER(MATCH(293,'Sign-ups'!$AO$2:$AO$301,0)),293,"")</f>
        <v/>
      </c>
      <c r="B298" s="27">
        <f>IFERROR(INDEX('Sign-ups'!$AE$2:$AE$301,MATCH(293,'Sign-ups'!$AO$2:$AO$301,0)),"")</f>
        <v/>
      </c>
      <c r="C298" s="27">
        <f>IFERROR(INDEX('Sign-ups'!$AF$2:$AF$301,MATCH(293,'Sign-ups'!$AO$2:$AO$301,0)),"")</f>
        <v/>
      </c>
      <c r="D298" s="27">
        <f>IFERROR(INDEX('Sign-ups'!$AG$2:$AG$301,MATCH(293,'Sign-ups'!$AO$2:$AO$301,0)),"")</f>
        <v/>
      </c>
      <c r="E298" s="27">
        <f>IFERROR(INDEX('Sign-ups'!$AH$2:$AH$301,MATCH(293,'Sign-ups'!$AO$2:$AO$301,0)),"")</f>
        <v/>
      </c>
      <c r="F298" s="27">
        <f>IFERROR(INDEX('Sign-ups'!$AI$2:$AI$301,MATCH(293,'Sign-ups'!$AO$2:$AO$301,0)),"")</f>
        <v/>
      </c>
      <c r="G298" s="27">
        <f>IFERROR(INDEX('Sign-ups'!$AK$2:$AK$301,MATCH(293,'Sign-ups'!$AO$2:$AO$301,0)),"")</f>
        <v/>
      </c>
      <c r="H298" s="26">
        <f>IFERROR(INDEX('Sign-ups'!$AJ$2:$AJ$301,MATCH(293,'Sign-ups'!$AO$2:$AO$301,0)),"")</f>
        <v/>
      </c>
      <c r="I298" s="26">
        <f>IFERROR(INDEX('Sign-ups'!$AN$2:$AN$301,MATCH(293,'Sign-ups'!$AO$2:$AO$301,0)),"")</f>
        <v/>
      </c>
      <c r="J298" s="26">
        <f>IFERROR(INDEX('Sign-ups'!$AA$2:$AA$301,MATCH(293,'Sign-ups'!$AO$2:$AO$301,0))&amp;"","")</f>
        <v/>
      </c>
      <c r="K298" s="27">
        <f>IFERROR(INDEX('Sign-ups'!$AB$2:$AB$301,MATCH(293,'Sign-ups'!$AO$2:$AO$301,0))&amp;"","")</f>
        <v/>
      </c>
    </row>
    <row r="299">
      <c r="A299" s="26">
        <f>IF(ISNUMBER(MATCH(294,'Sign-ups'!$AO$2:$AO$301,0)),294,"")</f>
        <v/>
      </c>
      <c r="B299" s="27">
        <f>IFERROR(INDEX('Sign-ups'!$AE$2:$AE$301,MATCH(294,'Sign-ups'!$AO$2:$AO$301,0)),"")</f>
        <v/>
      </c>
      <c r="C299" s="27">
        <f>IFERROR(INDEX('Sign-ups'!$AF$2:$AF$301,MATCH(294,'Sign-ups'!$AO$2:$AO$301,0)),"")</f>
        <v/>
      </c>
      <c r="D299" s="27">
        <f>IFERROR(INDEX('Sign-ups'!$AG$2:$AG$301,MATCH(294,'Sign-ups'!$AO$2:$AO$301,0)),"")</f>
        <v/>
      </c>
      <c r="E299" s="27">
        <f>IFERROR(INDEX('Sign-ups'!$AH$2:$AH$301,MATCH(294,'Sign-ups'!$AO$2:$AO$301,0)),"")</f>
        <v/>
      </c>
      <c r="F299" s="27">
        <f>IFERROR(INDEX('Sign-ups'!$AI$2:$AI$301,MATCH(294,'Sign-ups'!$AO$2:$AO$301,0)),"")</f>
        <v/>
      </c>
      <c r="G299" s="27">
        <f>IFERROR(INDEX('Sign-ups'!$AK$2:$AK$301,MATCH(294,'Sign-ups'!$AO$2:$AO$301,0)),"")</f>
        <v/>
      </c>
      <c r="H299" s="26">
        <f>IFERROR(INDEX('Sign-ups'!$AJ$2:$AJ$301,MATCH(294,'Sign-ups'!$AO$2:$AO$301,0)),"")</f>
        <v/>
      </c>
      <c r="I299" s="26">
        <f>IFERROR(INDEX('Sign-ups'!$AN$2:$AN$301,MATCH(294,'Sign-ups'!$AO$2:$AO$301,0)),"")</f>
        <v/>
      </c>
      <c r="J299" s="26">
        <f>IFERROR(INDEX('Sign-ups'!$AA$2:$AA$301,MATCH(294,'Sign-ups'!$AO$2:$AO$301,0))&amp;"","")</f>
        <v/>
      </c>
      <c r="K299" s="27">
        <f>IFERROR(INDEX('Sign-ups'!$AB$2:$AB$301,MATCH(294,'Sign-ups'!$AO$2:$AO$301,0))&amp;"","")</f>
        <v/>
      </c>
    </row>
    <row r="300">
      <c r="A300" s="26">
        <f>IF(ISNUMBER(MATCH(295,'Sign-ups'!$AO$2:$AO$301,0)),295,"")</f>
        <v/>
      </c>
      <c r="B300" s="27">
        <f>IFERROR(INDEX('Sign-ups'!$AE$2:$AE$301,MATCH(295,'Sign-ups'!$AO$2:$AO$301,0)),"")</f>
        <v/>
      </c>
      <c r="C300" s="27">
        <f>IFERROR(INDEX('Sign-ups'!$AF$2:$AF$301,MATCH(295,'Sign-ups'!$AO$2:$AO$301,0)),"")</f>
        <v/>
      </c>
      <c r="D300" s="27">
        <f>IFERROR(INDEX('Sign-ups'!$AG$2:$AG$301,MATCH(295,'Sign-ups'!$AO$2:$AO$301,0)),"")</f>
        <v/>
      </c>
      <c r="E300" s="27">
        <f>IFERROR(INDEX('Sign-ups'!$AH$2:$AH$301,MATCH(295,'Sign-ups'!$AO$2:$AO$301,0)),"")</f>
        <v/>
      </c>
      <c r="F300" s="27">
        <f>IFERROR(INDEX('Sign-ups'!$AI$2:$AI$301,MATCH(295,'Sign-ups'!$AO$2:$AO$301,0)),"")</f>
        <v/>
      </c>
      <c r="G300" s="27">
        <f>IFERROR(INDEX('Sign-ups'!$AK$2:$AK$301,MATCH(295,'Sign-ups'!$AO$2:$AO$301,0)),"")</f>
        <v/>
      </c>
      <c r="H300" s="26">
        <f>IFERROR(INDEX('Sign-ups'!$AJ$2:$AJ$301,MATCH(295,'Sign-ups'!$AO$2:$AO$301,0)),"")</f>
        <v/>
      </c>
      <c r="I300" s="26">
        <f>IFERROR(INDEX('Sign-ups'!$AN$2:$AN$301,MATCH(295,'Sign-ups'!$AO$2:$AO$301,0)),"")</f>
        <v/>
      </c>
      <c r="J300" s="26">
        <f>IFERROR(INDEX('Sign-ups'!$AA$2:$AA$301,MATCH(295,'Sign-ups'!$AO$2:$AO$301,0))&amp;"","")</f>
        <v/>
      </c>
      <c r="K300" s="27">
        <f>IFERROR(INDEX('Sign-ups'!$AB$2:$AB$301,MATCH(295,'Sign-ups'!$AO$2:$AO$301,0))&amp;"","")</f>
        <v/>
      </c>
    </row>
    <row r="301">
      <c r="A301" s="26">
        <f>IF(ISNUMBER(MATCH(296,'Sign-ups'!$AO$2:$AO$301,0)),296,"")</f>
        <v/>
      </c>
      <c r="B301" s="27">
        <f>IFERROR(INDEX('Sign-ups'!$AE$2:$AE$301,MATCH(296,'Sign-ups'!$AO$2:$AO$301,0)),"")</f>
        <v/>
      </c>
      <c r="C301" s="27">
        <f>IFERROR(INDEX('Sign-ups'!$AF$2:$AF$301,MATCH(296,'Sign-ups'!$AO$2:$AO$301,0)),"")</f>
        <v/>
      </c>
      <c r="D301" s="27">
        <f>IFERROR(INDEX('Sign-ups'!$AG$2:$AG$301,MATCH(296,'Sign-ups'!$AO$2:$AO$301,0)),"")</f>
        <v/>
      </c>
      <c r="E301" s="27">
        <f>IFERROR(INDEX('Sign-ups'!$AH$2:$AH$301,MATCH(296,'Sign-ups'!$AO$2:$AO$301,0)),"")</f>
        <v/>
      </c>
      <c r="F301" s="27">
        <f>IFERROR(INDEX('Sign-ups'!$AI$2:$AI$301,MATCH(296,'Sign-ups'!$AO$2:$AO$301,0)),"")</f>
        <v/>
      </c>
      <c r="G301" s="27">
        <f>IFERROR(INDEX('Sign-ups'!$AK$2:$AK$301,MATCH(296,'Sign-ups'!$AO$2:$AO$301,0)),"")</f>
        <v/>
      </c>
      <c r="H301" s="26">
        <f>IFERROR(INDEX('Sign-ups'!$AJ$2:$AJ$301,MATCH(296,'Sign-ups'!$AO$2:$AO$301,0)),"")</f>
        <v/>
      </c>
      <c r="I301" s="26">
        <f>IFERROR(INDEX('Sign-ups'!$AN$2:$AN$301,MATCH(296,'Sign-ups'!$AO$2:$AO$301,0)),"")</f>
        <v/>
      </c>
      <c r="J301" s="26">
        <f>IFERROR(INDEX('Sign-ups'!$AA$2:$AA$301,MATCH(296,'Sign-ups'!$AO$2:$AO$301,0))&amp;"","")</f>
        <v/>
      </c>
      <c r="K301" s="27">
        <f>IFERROR(INDEX('Sign-ups'!$AB$2:$AB$301,MATCH(296,'Sign-ups'!$AO$2:$AO$301,0))&amp;"","")</f>
        <v/>
      </c>
    </row>
    <row r="302">
      <c r="A302" s="26">
        <f>IF(ISNUMBER(MATCH(297,'Sign-ups'!$AO$2:$AO$301,0)),297,"")</f>
        <v/>
      </c>
      <c r="B302" s="27">
        <f>IFERROR(INDEX('Sign-ups'!$AE$2:$AE$301,MATCH(297,'Sign-ups'!$AO$2:$AO$301,0)),"")</f>
        <v/>
      </c>
      <c r="C302" s="27">
        <f>IFERROR(INDEX('Sign-ups'!$AF$2:$AF$301,MATCH(297,'Sign-ups'!$AO$2:$AO$301,0)),"")</f>
        <v/>
      </c>
      <c r="D302" s="27">
        <f>IFERROR(INDEX('Sign-ups'!$AG$2:$AG$301,MATCH(297,'Sign-ups'!$AO$2:$AO$301,0)),"")</f>
        <v/>
      </c>
      <c r="E302" s="27">
        <f>IFERROR(INDEX('Sign-ups'!$AH$2:$AH$301,MATCH(297,'Sign-ups'!$AO$2:$AO$301,0)),"")</f>
        <v/>
      </c>
      <c r="F302" s="27">
        <f>IFERROR(INDEX('Sign-ups'!$AI$2:$AI$301,MATCH(297,'Sign-ups'!$AO$2:$AO$301,0)),"")</f>
        <v/>
      </c>
      <c r="G302" s="27">
        <f>IFERROR(INDEX('Sign-ups'!$AK$2:$AK$301,MATCH(297,'Sign-ups'!$AO$2:$AO$301,0)),"")</f>
        <v/>
      </c>
      <c r="H302" s="26">
        <f>IFERROR(INDEX('Sign-ups'!$AJ$2:$AJ$301,MATCH(297,'Sign-ups'!$AO$2:$AO$301,0)),"")</f>
        <v/>
      </c>
      <c r="I302" s="26">
        <f>IFERROR(INDEX('Sign-ups'!$AN$2:$AN$301,MATCH(297,'Sign-ups'!$AO$2:$AO$301,0)),"")</f>
        <v/>
      </c>
      <c r="J302" s="26">
        <f>IFERROR(INDEX('Sign-ups'!$AA$2:$AA$301,MATCH(297,'Sign-ups'!$AO$2:$AO$301,0))&amp;"","")</f>
        <v/>
      </c>
      <c r="K302" s="27">
        <f>IFERROR(INDEX('Sign-ups'!$AB$2:$AB$301,MATCH(297,'Sign-ups'!$AO$2:$AO$301,0))&amp;"","")</f>
        <v/>
      </c>
    </row>
    <row r="303">
      <c r="A303" s="26">
        <f>IF(ISNUMBER(MATCH(298,'Sign-ups'!$AO$2:$AO$301,0)),298,"")</f>
        <v/>
      </c>
      <c r="B303" s="27">
        <f>IFERROR(INDEX('Sign-ups'!$AE$2:$AE$301,MATCH(298,'Sign-ups'!$AO$2:$AO$301,0)),"")</f>
        <v/>
      </c>
      <c r="C303" s="27">
        <f>IFERROR(INDEX('Sign-ups'!$AF$2:$AF$301,MATCH(298,'Sign-ups'!$AO$2:$AO$301,0)),"")</f>
        <v/>
      </c>
      <c r="D303" s="27">
        <f>IFERROR(INDEX('Sign-ups'!$AG$2:$AG$301,MATCH(298,'Sign-ups'!$AO$2:$AO$301,0)),"")</f>
        <v/>
      </c>
      <c r="E303" s="27">
        <f>IFERROR(INDEX('Sign-ups'!$AH$2:$AH$301,MATCH(298,'Sign-ups'!$AO$2:$AO$301,0)),"")</f>
        <v/>
      </c>
      <c r="F303" s="27">
        <f>IFERROR(INDEX('Sign-ups'!$AI$2:$AI$301,MATCH(298,'Sign-ups'!$AO$2:$AO$301,0)),"")</f>
        <v/>
      </c>
      <c r="G303" s="27">
        <f>IFERROR(INDEX('Sign-ups'!$AK$2:$AK$301,MATCH(298,'Sign-ups'!$AO$2:$AO$301,0)),"")</f>
        <v/>
      </c>
      <c r="H303" s="26">
        <f>IFERROR(INDEX('Sign-ups'!$AJ$2:$AJ$301,MATCH(298,'Sign-ups'!$AO$2:$AO$301,0)),"")</f>
        <v/>
      </c>
      <c r="I303" s="26">
        <f>IFERROR(INDEX('Sign-ups'!$AN$2:$AN$301,MATCH(298,'Sign-ups'!$AO$2:$AO$301,0)),"")</f>
        <v/>
      </c>
      <c r="J303" s="26">
        <f>IFERROR(INDEX('Sign-ups'!$AA$2:$AA$301,MATCH(298,'Sign-ups'!$AO$2:$AO$301,0))&amp;"","")</f>
        <v/>
      </c>
      <c r="K303" s="27">
        <f>IFERROR(INDEX('Sign-ups'!$AB$2:$AB$301,MATCH(298,'Sign-ups'!$AO$2:$AO$301,0))&amp;"","")</f>
        <v/>
      </c>
    </row>
    <row r="304">
      <c r="A304" s="26">
        <f>IF(ISNUMBER(MATCH(299,'Sign-ups'!$AO$2:$AO$301,0)),299,"")</f>
        <v/>
      </c>
      <c r="B304" s="27">
        <f>IFERROR(INDEX('Sign-ups'!$AE$2:$AE$301,MATCH(299,'Sign-ups'!$AO$2:$AO$301,0)),"")</f>
        <v/>
      </c>
      <c r="C304" s="27">
        <f>IFERROR(INDEX('Sign-ups'!$AF$2:$AF$301,MATCH(299,'Sign-ups'!$AO$2:$AO$301,0)),"")</f>
        <v/>
      </c>
      <c r="D304" s="27">
        <f>IFERROR(INDEX('Sign-ups'!$AG$2:$AG$301,MATCH(299,'Sign-ups'!$AO$2:$AO$301,0)),"")</f>
        <v/>
      </c>
      <c r="E304" s="27">
        <f>IFERROR(INDEX('Sign-ups'!$AH$2:$AH$301,MATCH(299,'Sign-ups'!$AO$2:$AO$301,0)),"")</f>
        <v/>
      </c>
      <c r="F304" s="27">
        <f>IFERROR(INDEX('Sign-ups'!$AI$2:$AI$301,MATCH(299,'Sign-ups'!$AO$2:$AO$301,0)),"")</f>
        <v/>
      </c>
      <c r="G304" s="27">
        <f>IFERROR(INDEX('Sign-ups'!$AK$2:$AK$301,MATCH(299,'Sign-ups'!$AO$2:$AO$301,0)),"")</f>
        <v/>
      </c>
      <c r="H304" s="26">
        <f>IFERROR(INDEX('Sign-ups'!$AJ$2:$AJ$301,MATCH(299,'Sign-ups'!$AO$2:$AO$301,0)),"")</f>
        <v/>
      </c>
      <c r="I304" s="26">
        <f>IFERROR(INDEX('Sign-ups'!$AN$2:$AN$301,MATCH(299,'Sign-ups'!$AO$2:$AO$301,0)),"")</f>
        <v/>
      </c>
      <c r="J304" s="26">
        <f>IFERROR(INDEX('Sign-ups'!$AA$2:$AA$301,MATCH(299,'Sign-ups'!$AO$2:$AO$301,0))&amp;"","")</f>
        <v/>
      </c>
      <c r="K304" s="27">
        <f>IFERROR(INDEX('Sign-ups'!$AB$2:$AB$301,MATCH(299,'Sign-ups'!$AO$2:$AO$301,0))&amp;"","")</f>
        <v/>
      </c>
    </row>
    <row r="305">
      <c r="A305" s="26">
        <f>IF(ISNUMBER(MATCH(300,'Sign-ups'!$AO$2:$AO$301,0)),300,"")</f>
        <v/>
      </c>
      <c r="B305" s="27">
        <f>IFERROR(INDEX('Sign-ups'!$AE$2:$AE$301,MATCH(300,'Sign-ups'!$AO$2:$AO$301,0)),"")</f>
        <v/>
      </c>
      <c r="C305" s="27">
        <f>IFERROR(INDEX('Sign-ups'!$AF$2:$AF$301,MATCH(300,'Sign-ups'!$AO$2:$AO$301,0)),"")</f>
        <v/>
      </c>
      <c r="D305" s="27">
        <f>IFERROR(INDEX('Sign-ups'!$AG$2:$AG$301,MATCH(300,'Sign-ups'!$AO$2:$AO$301,0)),"")</f>
        <v/>
      </c>
      <c r="E305" s="27">
        <f>IFERROR(INDEX('Sign-ups'!$AH$2:$AH$301,MATCH(300,'Sign-ups'!$AO$2:$AO$301,0)),"")</f>
        <v/>
      </c>
      <c r="F305" s="27">
        <f>IFERROR(INDEX('Sign-ups'!$AI$2:$AI$301,MATCH(300,'Sign-ups'!$AO$2:$AO$301,0)),"")</f>
        <v/>
      </c>
      <c r="G305" s="27">
        <f>IFERROR(INDEX('Sign-ups'!$AK$2:$AK$301,MATCH(300,'Sign-ups'!$AO$2:$AO$301,0)),"")</f>
        <v/>
      </c>
      <c r="H305" s="26">
        <f>IFERROR(INDEX('Sign-ups'!$AJ$2:$AJ$301,MATCH(300,'Sign-ups'!$AO$2:$AO$301,0)),"")</f>
        <v/>
      </c>
      <c r="I305" s="26">
        <f>IFERROR(INDEX('Sign-ups'!$AN$2:$AN$301,MATCH(300,'Sign-ups'!$AO$2:$AO$301,0)),"")</f>
        <v/>
      </c>
      <c r="J305" s="26">
        <f>IFERROR(INDEX('Sign-ups'!$AA$2:$AA$301,MATCH(300,'Sign-ups'!$AO$2:$AO$301,0))&amp;"","")</f>
        <v/>
      </c>
      <c r="K305" s="27">
        <f>IFERROR(INDEX('Sign-ups'!$AB$2:$AB$301,MATCH(300,'Sign-ups'!$AO$2:$AO$301,0))&amp;"","")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D1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36" customWidth="1" min="2" max="2"/>
    <col width="14" customWidth="1" min="3" max="3"/>
    <col width="34" customWidth="1" min="4" max="4"/>
  </cols>
  <sheetData>
    <row r="1">
      <c r="A1" s="23">
        <f>IF(Summary!B5="","Class sign-in sheet","Sign-in sheet: "&amp;Summary!B5)</f>
        <v/>
      </c>
    </row>
    <row r="2">
      <c r="A2" s="28">
        <f>IF(Summary!B6="","Date: ________________","Date: "&amp;TEXT(Summary!B6,"yyyy-mm-dd"))</f>
        <v/>
      </c>
    </row>
    <row r="3">
      <c r="A3" s="25">
        <f>IF(COUNTIF('Sign-ups'!$A$2:$A$301,"EXAMPLE*")&gt;0,"You are looking at EXAMPLE data. Clear A2 to AB9 on Sign-ups, then paste your own.","")</f>
        <v/>
      </c>
    </row>
    <row r="5">
      <c r="A5" s="3" t="inlineStr">
        <is>
          <t>#</t>
        </is>
      </c>
      <c r="B5" s="3" t="inlineStr">
        <is>
          <t>Name</t>
        </is>
      </c>
      <c r="C5" s="3" t="inlineStr">
        <is>
          <t>Initials</t>
        </is>
      </c>
      <c r="D5" s="3" t="inlineStr">
        <is>
          <t>Notes</t>
        </is>
      </c>
    </row>
    <row r="6" ht="24" customHeight="1">
      <c r="A6" s="29">
        <f>Roster!A6</f>
        <v/>
      </c>
      <c r="B6" s="30">
        <f>Roster!B6</f>
        <v/>
      </c>
      <c r="C6" s="31" t="n"/>
      <c r="D6" s="31" t="n"/>
    </row>
    <row r="7" ht="24" customHeight="1">
      <c r="A7" s="29">
        <f>Roster!A7</f>
        <v/>
      </c>
      <c r="B7" s="30">
        <f>Roster!B7</f>
        <v/>
      </c>
      <c r="C7" s="31" t="n"/>
      <c r="D7" s="31" t="n"/>
    </row>
    <row r="8" ht="24" customHeight="1">
      <c r="A8" s="29">
        <f>Roster!A8</f>
        <v/>
      </c>
      <c r="B8" s="30">
        <f>Roster!B8</f>
        <v/>
      </c>
      <c r="C8" s="31" t="n"/>
      <c r="D8" s="31" t="n"/>
    </row>
    <row r="9" ht="24" customHeight="1">
      <c r="A9" s="29">
        <f>Roster!A9</f>
        <v/>
      </c>
      <c r="B9" s="30">
        <f>Roster!B9</f>
        <v/>
      </c>
      <c r="C9" s="31" t="n"/>
      <c r="D9" s="31" t="n"/>
    </row>
    <row r="10" ht="24" customHeight="1">
      <c r="A10" s="29">
        <f>Roster!A10</f>
        <v/>
      </c>
      <c r="B10" s="30">
        <f>Roster!B10</f>
        <v/>
      </c>
      <c r="C10" s="31" t="n"/>
      <c r="D10" s="31" t="n"/>
    </row>
    <row r="11" ht="24" customHeight="1">
      <c r="A11" s="29">
        <f>Roster!A11</f>
        <v/>
      </c>
      <c r="B11" s="30">
        <f>Roster!B11</f>
        <v/>
      </c>
      <c r="C11" s="31" t="n"/>
      <c r="D11" s="31" t="n"/>
    </row>
    <row r="12" ht="24" customHeight="1">
      <c r="A12" s="29">
        <f>Roster!A12</f>
        <v/>
      </c>
      <c r="B12" s="30">
        <f>Roster!B12</f>
        <v/>
      </c>
      <c r="C12" s="31" t="n"/>
      <c r="D12" s="31" t="n"/>
    </row>
    <row r="13" ht="24" customHeight="1">
      <c r="A13" s="29">
        <f>Roster!A13</f>
        <v/>
      </c>
      <c r="B13" s="30">
        <f>Roster!B13</f>
        <v/>
      </c>
      <c r="C13" s="31" t="n"/>
      <c r="D13" s="31" t="n"/>
    </row>
    <row r="14" ht="24" customHeight="1">
      <c r="A14" s="29">
        <f>Roster!A14</f>
        <v/>
      </c>
      <c r="B14" s="30">
        <f>Roster!B14</f>
        <v/>
      </c>
      <c r="C14" s="31" t="n"/>
      <c r="D14" s="31" t="n"/>
    </row>
    <row r="15" ht="24" customHeight="1">
      <c r="A15" s="29">
        <f>Roster!A15</f>
        <v/>
      </c>
      <c r="B15" s="30">
        <f>Roster!B15</f>
        <v/>
      </c>
      <c r="C15" s="31" t="n"/>
      <c r="D15" s="31" t="n"/>
    </row>
    <row r="16" ht="24" customHeight="1">
      <c r="A16" s="29">
        <f>Roster!A16</f>
        <v/>
      </c>
      <c r="B16" s="30">
        <f>Roster!B16</f>
        <v/>
      </c>
      <c r="C16" s="31" t="n"/>
      <c r="D16" s="31" t="n"/>
    </row>
    <row r="17" ht="24" customHeight="1">
      <c r="A17" s="29">
        <f>Roster!A17</f>
        <v/>
      </c>
      <c r="B17" s="30">
        <f>Roster!B17</f>
        <v/>
      </c>
      <c r="C17" s="31" t="n"/>
      <c r="D17" s="31" t="n"/>
    </row>
    <row r="18" ht="24" customHeight="1">
      <c r="A18" s="29">
        <f>Roster!A18</f>
        <v/>
      </c>
      <c r="B18" s="30">
        <f>Roster!B18</f>
        <v/>
      </c>
      <c r="C18" s="31" t="n"/>
      <c r="D18" s="31" t="n"/>
    </row>
    <row r="19" ht="24" customHeight="1">
      <c r="A19" s="29">
        <f>Roster!A19</f>
        <v/>
      </c>
      <c r="B19" s="30">
        <f>Roster!B19</f>
        <v/>
      </c>
      <c r="C19" s="31" t="n"/>
      <c r="D19" s="31" t="n"/>
    </row>
    <row r="20" ht="24" customHeight="1">
      <c r="A20" s="29">
        <f>Roster!A20</f>
        <v/>
      </c>
      <c r="B20" s="30">
        <f>Roster!B20</f>
        <v/>
      </c>
      <c r="C20" s="31" t="n"/>
      <c r="D20" s="31" t="n"/>
    </row>
    <row r="21" ht="24" customHeight="1">
      <c r="A21" s="29">
        <f>Roster!A21</f>
        <v/>
      </c>
      <c r="B21" s="30">
        <f>Roster!B21</f>
        <v/>
      </c>
      <c r="C21" s="31" t="n"/>
      <c r="D21" s="31" t="n"/>
    </row>
    <row r="22" ht="24" customHeight="1">
      <c r="A22" s="29">
        <f>Roster!A22</f>
        <v/>
      </c>
      <c r="B22" s="30">
        <f>Roster!B22</f>
        <v/>
      </c>
      <c r="C22" s="31" t="n"/>
      <c r="D22" s="31" t="n"/>
    </row>
    <row r="23" ht="24" customHeight="1">
      <c r="A23" s="29">
        <f>Roster!A23</f>
        <v/>
      </c>
      <c r="B23" s="30">
        <f>Roster!B23</f>
        <v/>
      </c>
      <c r="C23" s="31" t="n"/>
      <c r="D23" s="31" t="n"/>
    </row>
    <row r="24" ht="24" customHeight="1">
      <c r="A24" s="29">
        <f>Roster!A24</f>
        <v/>
      </c>
      <c r="B24" s="30">
        <f>Roster!B24</f>
        <v/>
      </c>
      <c r="C24" s="31" t="n"/>
      <c r="D24" s="31" t="n"/>
    </row>
    <row r="25" ht="24" customHeight="1">
      <c r="A25" s="29">
        <f>Roster!A25</f>
        <v/>
      </c>
      <c r="B25" s="30">
        <f>Roster!B25</f>
        <v/>
      </c>
      <c r="C25" s="31" t="n"/>
      <c r="D25" s="31" t="n"/>
    </row>
    <row r="26" ht="24" customHeight="1">
      <c r="A26" s="29">
        <f>Roster!A26</f>
        <v/>
      </c>
      <c r="B26" s="30">
        <f>Roster!B26</f>
        <v/>
      </c>
      <c r="C26" s="31" t="n"/>
      <c r="D26" s="31" t="n"/>
    </row>
    <row r="27" ht="24" customHeight="1">
      <c r="A27" s="29">
        <f>Roster!A27</f>
        <v/>
      </c>
      <c r="B27" s="30">
        <f>Roster!B27</f>
        <v/>
      </c>
      <c r="C27" s="31" t="n"/>
      <c r="D27" s="31" t="n"/>
    </row>
    <row r="28" ht="24" customHeight="1">
      <c r="A28" s="29">
        <f>Roster!A28</f>
        <v/>
      </c>
      <c r="B28" s="30">
        <f>Roster!B28</f>
        <v/>
      </c>
      <c r="C28" s="31" t="n"/>
      <c r="D28" s="31" t="n"/>
    </row>
    <row r="29" ht="24" customHeight="1">
      <c r="A29" s="29">
        <f>Roster!A29</f>
        <v/>
      </c>
      <c r="B29" s="30">
        <f>Roster!B29</f>
        <v/>
      </c>
      <c r="C29" s="31" t="n"/>
      <c r="D29" s="31" t="n"/>
    </row>
    <row r="30" ht="24" customHeight="1">
      <c r="A30" s="29">
        <f>Roster!A30</f>
        <v/>
      </c>
      <c r="B30" s="30">
        <f>Roster!B30</f>
        <v/>
      </c>
      <c r="C30" s="31" t="n"/>
      <c r="D30" s="31" t="n"/>
    </row>
    <row r="31" ht="24" customHeight="1">
      <c r="A31" s="29">
        <f>Roster!A31</f>
        <v/>
      </c>
      <c r="B31" s="30">
        <f>Roster!B31</f>
        <v/>
      </c>
      <c r="C31" s="31" t="n"/>
      <c r="D31" s="31" t="n"/>
    </row>
    <row r="32" ht="24" customHeight="1">
      <c r="A32" s="29">
        <f>Roster!A32</f>
        <v/>
      </c>
      <c r="B32" s="30">
        <f>Roster!B32</f>
        <v/>
      </c>
      <c r="C32" s="31" t="n"/>
      <c r="D32" s="31" t="n"/>
    </row>
    <row r="33" ht="24" customHeight="1">
      <c r="A33" s="29">
        <f>Roster!A33</f>
        <v/>
      </c>
      <c r="B33" s="30">
        <f>Roster!B33</f>
        <v/>
      </c>
      <c r="C33" s="31" t="n"/>
      <c r="D33" s="31" t="n"/>
    </row>
    <row r="34" ht="24" customHeight="1">
      <c r="A34" s="29">
        <f>Roster!A34</f>
        <v/>
      </c>
      <c r="B34" s="30">
        <f>Roster!B34</f>
        <v/>
      </c>
      <c r="C34" s="31" t="n"/>
      <c r="D34" s="31" t="n"/>
    </row>
    <row r="35" ht="24" customHeight="1">
      <c r="A35" s="29">
        <f>Roster!A35</f>
        <v/>
      </c>
      <c r="B35" s="30">
        <f>Roster!B35</f>
        <v/>
      </c>
      <c r="C35" s="31" t="n"/>
      <c r="D35" s="31" t="n"/>
    </row>
    <row r="36" ht="24" customHeight="1">
      <c r="A36" s="29">
        <f>Roster!A36</f>
        <v/>
      </c>
      <c r="B36" s="30">
        <f>Roster!B36</f>
        <v/>
      </c>
      <c r="C36" s="31" t="n"/>
      <c r="D36" s="31" t="n"/>
    </row>
    <row r="37" ht="24" customHeight="1">
      <c r="A37" s="29">
        <f>Roster!A37</f>
        <v/>
      </c>
      <c r="B37" s="30">
        <f>Roster!B37</f>
        <v/>
      </c>
      <c r="C37" s="31" t="n"/>
      <c r="D37" s="31" t="n"/>
    </row>
    <row r="38" ht="24" customHeight="1">
      <c r="A38" s="29">
        <f>Roster!A38</f>
        <v/>
      </c>
      <c r="B38" s="30">
        <f>Roster!B38</f>
        <v/>
      </c>
      <c r="C38" s="31" t="n"/>
      <c r="D38" s="31" t="n"/>
    </row>
    <row r="39" ht="24" customHeight="1">
      <c r="A39" s="29">
        <f>Roster!A39</f>
        <v/>
      </c>
      <c r="B39" s="30">
        <f>Roster!B39</f>
        <v/>
      </c>
      <c r="C39" s="31" t="n"/>
      <c r="D39" s="31" t="n"/>
    </row>
    <row r="40" ht="24" customHeight="1">
      <c r="A40" s="29">
        <f>Roster!A40</f>
        <v/>
      </c>
      <c r="B40" s="30">
        <f>Roster!B40</f>
        <v/>
      </c>
      <c r="C40" s="31" t="n"/>
      <c r="D40" s="31" t="n"/>
    </row>
    <row r="41" ht="24" customHeight="1">
      <c r="A41" s="29">
        <f>Roster!A41</f>
        <v/>
      </c>
      <c r="B41" s="30">
        <f>Roster!B41</f>
        <v/>
      </c>
      <c r="C41" s="31" t="n"/>
      <c r="D41" s="31" t="n"/>
    </row>
    <row r="42" ht="24" customHeight="1">
      <c r="A42" s="29">
        <f>Roster!A42</f>
        <v/>
      </c>
      <c r="B42" s="30">
        <f>Roster!B42</f>
        <v/>
      </c>
      <c r="C42" s="31" t="n"/>
      <c r="D42" s="31" t="n"/>
    </row>
    <row r="43" ht="24" customHeight="1">
      <c r="A43" s="29">
        <f>Roster!A43</f>
        <v/>
      </c>
      <c r="B43" s="30">
        <f>Roster!B43</f>
        <v/>
      </c>
      <c r="C43" s="31" t="n"/>
      <c r="D43" s="31" t="n"/>
    </row>
    <row r="44" ht="24" customHeight="1">
      <c r="A44" s="29">
        <f>Roster!A44</f>
        <v/>
      </c>
      <c r="B44" s="30">
        <f>Roster!B44</f>
        <v/>
      </c>
      <c r="C44" s="31" t="n"/>
      <c r="D44" s="31" t="n"/>
    </row>
    <row r="45" ht="24" customHeight="1">
      <c r="A45" s="29">
        <f>Roster!A45</f>
        <v/>
      </c>
      <c r="B45" s="30">
        <f>Roster!B45</f>
        <v/>
      </c>
      <c r="C45" s="31" t="n"/>
      <c r="D45" s="31" t="n"/>
    </row>
    <row r="46" ht="24" customHeight="1">
      <c r="A46" s="29">
        <f>Roster!A46</f>
        <v/>
      </c>
      <c r="B46" s="30">
        <f>Roster!B46</f>
        <v/>
      </c>
      <c r="C46" s="31" t="n"/>
      <c r="D46" s="31" t="n"/>
    </row>
    <row r="47" ht="24" customHeight="1">
      <c r="A47" s="29">
        <f>Roster!A47</f>
        <v/>
      </c>
      <c r="B47" s="30">
        <f>Roster!B47</f>
        <v/>
      </c>
      <c r="C47" s="31" t="n"/>
      <c r="D47" s="31" t="n"/>
    </row>
    <row r="48" ht="24" customHeight="1">
      <c r="A48" s="29">
        <f>Roster!A48</f>
        <v/>
      </c>
      <c r="B48" s="30">
        <f>Roster!B48</f>
        <v/>
      </c>
      <c r="C48" s="31" t="n"/>
      <c r="D48" s="31" t="n"/>
    </row>
    <row r="49" ht="24" customHeight="1">
      <c r="A49" s="29">
        <f>Roster!A49</f>
        <v/>
      </c>
      <c r="B49" s="30">
        <f>Roster!B49</f>
        <v/>
      </c>
      <c r="C49" s="31" t="n"/>
      <c r="D49" s="31" t="n"/>
    </row>
    <row r="50" ht="24" customHeight="1">
      <c r="A50" s="29">
        <f>Roster!A50</f>
        <v/>
      </c>
      <c r="B50" s="30">
        <f>Roster!B50</f>
        <v/>
      </c>
      <c r="C50" s="31" t="n"/>
      <c r="D50" s="31" t="n"/>
    </row>
    <row r="51" ht="24" customHeight="1">
      <c r="A51" s="29">
        <f>Roster!A51</f>
        <v/>
      </c>
      <c r="B51" s="30">
        <f>Roster!B51</f>
        <v/>
      </c>
      <c r="C51" s="31" t="n"/>
      <c r="D51" s="31" t="n"/>
    </row>
    <row r="52" ht="24" customHeight="1">
      <c r="A52" s="29">
        <f>Roster!A52</f>
        <v/>
      </c>
      <c r="B52" s="30">
        <f>Roster!B52</f>
        <v/>
      </c>
      <c r="C52" s="31" t="n"/>
      <c r="D52" s="31" t="n"/>
    </row>
    <row r="53" ht="24" customHeight="1">
      <c r="A53" s="29">
        <f>Roster!A53</f>
        <v/>
      </c>
      <c r="B53" s="30">
        <f>Roster!B53</f>
        <v/>
      </c>
      <c r="C53" s="31" t="n"/>
      <c r="D53" s="31" t="n"/>
    </row>
    <row r="54" ht="24" customHeight="1">
      <c r="A54" s="29">
        <f>Roster!A54</f>
        <v/>
      </c>
      <c r="B54" s="30">
        <f>Roster!B54</f>
        <v/>
      </c>
      <c r="C54" s="31" t="n"/>
      <c r="D54" s="31" t="n"/>
    </row>
    <row r="55" ht="24" customHeight="1">
      <c r="A55" s="29">
        <f>Roster!A55</f>
        <v/>
      </c>
      <c r="B55" s="30">
        <f>Roster!B55</f>
        <v/>
      </c>
      <c r="C55" s="31" t="n"/>
      <c r="D55" s="31" t="n"/>
    </row>
    <row r="56" ht="24" customHeight="1">
      <c r="A56" s="29">
        <f>Roster!A56</f>
        <v/>
      </c>
      <c r="B56" s="30">
        <f>Roster!B56</f>
        <v/>
      </c>
      <c r="C56" s="31" t="n"/>
      <c r="D56" s="31" t="n"/>
    </row>
    <row r="57" ht="24" customHeight="1">
      <c r="A57" s="29">
        <f>Roster!A57</f>
        <v/>
      </c>
      <c r="B57" s="30">
        <f>Roster!B57</f>
        <v/>
      </c>
      <c r="C57" s="31" t="n"/>
      <c r="D57" s="31" t="n"/>
    </row>
    <row r="58" ht="24" customHeight="1">
      <c r="A58" s="29">
        <f>Roster!A58</f>
        <v/>
      </c>
      <c r="B58" s="30">
        <f>Roster!B58</f>
        <v/>
      </c>
      <c r="C58" s="31" t="n"/>
      <c r="D58" s="31" t="n"/>
    </row>
    <row r="59" ht="24" customHeight="1">
      <c r="A59" s="29">
        <f>Roster!A59</f>
        <v/>
      </c>
      <c r="B59" s="30">
        <f>Roster!B59</f>
        <v/>
      </c>
      <c r="C59" s="31" t="n"/>
      <c r="D59" s="31" t="n"/>
    </row>
    <row r="60" ht="24" customHeight="1">
      <c r="A60" s="29">
        <f>Roster!A60</f>
        <v/>
      </c>
      <c r="B60" s="30">
        <f>Roster!B60</f>
        <v/>
      </c>
      <c r="C60" s="31" t="n"/>
      <c r="D60" s="31" t="n"/>
    </row>
    <row r="61" ht="24" customHeight="1">
      <c r="A61" s="29">
        <f>Roster!A61</f>
        <v/>
      </c>
      <c r="B61" s="30">
        <f>Roster!B61</f>
        <v/>
      </c>
      <c r="C61" s="31" t="n"/>
      <c r="D61" s="31" t="n"/>
    </row>
    <row r="62" ht="24" customHeight="1">
      <c r="A62" s="29">
        <f>Roster!A62</f>
        <v/>
      </c>
      <c r="B62" s="30">
        <f>Roster!B62</f>
        <v/>
      </c>
      <c r="C62" s="31" t="n"/>
      <c r="D62" s="31" t="n"/>
    </row>
    <row r="63" ht="24" customHeight="1">
      <c r="A63" s="29">
        <f>Roster!A63</f>
        <v/>
      </c>
      <c r="B63" s="30">
        <f>Roster!B63</f>
        <v/>
      </c>
      <c r="C63" s="31" t="n"/>
      <c r="D63" s="31" t="n"/>
    </row>
    <row r="64" ht="24" customHeight="1">
      <c r="A64" s="29">
        <f>Roster!A64</f>
        <v/>
      </c>
      <c r="B64" s="30">
        <f>Roster!B64</f>
        <v/>
      </c>
      <c r="C64" s="31" t="n"/>
      <c r="D64" s="31" t="n"/>
    </row>
    <row r="65" ht="24" customHeight="1">
      <c r="A65" s="29">
        <f>Roster!A65</f>
        <v/>
      </c>
      <c r="B65" s="30">
        <f>Roster!B65</f>
        <v/>
      </c>
      <c r="C65" s="31" t="n"/>
      <c r="D65" s="31" t="n"/>
    </row>
    <row r="66" ht="24" customHeight="1">
      <c r="A66" s="29">
        <f>Roster!A66</f>
        <v/>
      </c>
      <c r="B66" s="30">
        <f>Roster!B66</f>
        <v/>
      </c>
      <c r="C66" s="31" t="n"/>
      <c r="D66" s="31" t="n"/>
    </row>
    <row r="67" ht="24" customHeight="1">
      <c r="A67" s="29">
        <f>Roster!A67</f>
        <v/>
      </c>
      <c r="B67" s="30">
        <f>Roster!B67</f>
        <v/>
      </c>
      <c r="C67" s="31" t="n"/>
      <c r="D67" s="31" t="n"/>
    </row>
    <row r="68" ht="24" customHeight="1">
      <c r="A68" s="29">
        <f>Roster!A68</f>
        <v/>
      </c>
      <c r="B68" s="30">
        <f>Roster!B68</f>
        <v/>
      </c>
      <c r="C68" s="31" t="n"/>
      <c r="D68" s="31" t="n"/>
    </row>
    <row r="69" ht="24" customHeight="1">
      <c r="A69" s="29">
        <f>Roster!A69</f>
        <v/>
      </c>
      <c r="B69" s="30">
        <f>Roster!B69</f>
        <v/>
      </c>
      <c r="C69" s="31" t="n"/>
      <c r="D69" s="31" t="n"/>
    </row>
    <row r="70" ht="24" customHeight="1">
      <c r="A70" s="29">
        <f>Roster!A70</f>
        <v/>
      </c>
      <c r="B70" s="30">
        <f>Roster!B70</f>
        <v/>
      </c>
      <c r="C70" s="31" t="n"/>
      <c r="D70" s="31" t="n"/>
    </row>
    <row r="71" ht="24" customHeight="1">
      <c r="A71" s="29">
        <f>Roster!A71</f>
        <v/>
      </c>
      <c r="B71" s="30">
        <f>Roster!B71</f>
        <v/>
      </c>
      <c r="C71" s="31" t="n"/>
      <c r="D71" s="31" t="n"/>
    </row>
    <row r="72" ht="24" customHeight="1">
      <c r="A72" s="29">
        <f>Roster!A72</f>
        <v/>
      </c>
      <c r="B72" s="30">
        <f>Roster!B72</f>
        <v/>
      </c>
      <c r="C72" s="31" t="n"/>
      <c r="D72" s="31" t="n"/>
    </row>
    <row r="73" ht="24" customHeight="1">
      <c r="A73" s="29">
        <f>Roster!A73</f>
        <v/>
      </c>
      <c r="B73" s="30">
        <f>Roster!B73</f>
        <v/>
      </c>
      <c r="C73" s="31" t="n"/>
      <c r="D73" s="31" t="n"/>
    </row>
    <row r="74" ht="24" customHeight="1">
      <c r="A74" s="29">
        <f>Roster!A74</f>
        <v/>
      </c>
      <c r="B74" s="30">
        <f>Roster!B74</f>
        <v/>
      </c>
      <c r="C74" s="31" t="n"/>
      <c r="D74" s="31" t="n"/>
    </row>
    <row r="75" ht="24" customHeight="1">
      <c r="A75" s="29">
        <f>Roster!A75</f>
        <v/>
      </c>
      <c r="B75" s="30">
        <f>Roster!B75</f>
        <v/>
      </c>
      <c r="C75" s="31" t="n"/>
      <c r="D75" s="31" t="n"/>
    </row>
    <row r="76" ht="24" customHeight="1">
      <c r="A76" s="29">
        <f>Roster!A76</f>
        <v/>
      </c>
      <c r="B76" s="30">
        <f>Roster!B76</f>
        <v/>
      </c>
      <c r="C76" s="31" t="n"/>
      <c r="D76" s="31" t="n"/>
    </row>
    <row r="77" ht="24" customHeight="1">
      <c r="A77" s="29">
        <f>Roster!A77</f>
        <v/>
      </c>
      <c r="B77" s="30">
        <f>Roster!B77</f>
        <v/>
      </c>
      <c r="C77" s="31" t="n"/>
      <c r="D77" s="31" t="n"/>
    </row>
    <row r="78" ht="24" customHeight="1">
      <c r="A78" s="29">
        <f>Roster!A78</f>
        <v/>
      </c>
      <c r="B78" s="30">
        <f>Roster!B78</f>
        <v/>
      </c>
      <c r="C78" s="31" t="n"/>
      <c r="D78" s="31" t="n"/>
    </row>
    <row r="79" ht="24" customHeight="1">
      <c r="A79" s="29">
        <f>Roster!A79</f>
        <v/>
      </c>
      <c r="B79" s="30">
        <f>Roster!B79</f>
        <v/>
      </c>
      <c r="C79" s="31" t="n"/>
      <c r="D79" s="31" t="n"/>
    </row>
    <row r="80" ht="24" customHeight="1">
      <c r="A80" s="29">
        <f>Roster!A80</f>
        <v/>
      </c>
      <c r="B80" s="30">
        <f>Roster!B80</f>
        <v/>
      </c>
      <c r="C80" s="31" t="n"/>
      <c r="D80" s="31" t="n"/>
    </row>
    <row r="81" ht="24" customHeight="1">
      <c r="A81" s="29">
        <f>Roster!A81</f>
        <v/>
      </c>
      <c r="B81" s="30">
        <f>Roster!B81</f>
        <v/>
      </c>
      <c r="C81" s="31" t="n"/>
      <c r="D81" s="31" t="n"/>
    </row>
    <row r="82" ht="24" customHeight="1">
      <c r="A82" s="29">
        <f>Roster!A82</f>
        <v/>
      </c>
      <c r="B82" s="30">
        <f>Roster!B82</f>
        <v/>
      </c>
      <c r="C82" s="31" t="n"/>
      <c r="D82" s="31" t="n"/>
    </row>
    <row r="83" ht="24" customHeight="1">
      <c r="A83" s="29">
        <f>Roster!A83</f>
        <v/>
      </c>
      <c r="B83" s="30">
        <f>Roster!B83</f>
        <v/>
      </c>
      <c r="C83" s="31" t="n"/>
      <c r="D83" s="31" t="n"/>
    </row>
    <row r="84" ht="24" customHeight="1">
      <c r="A84" s="29">
        <f>Roster!A84</f>
        <v/>
      </c>
      <c r="B84" s="30">
        <f>Roster!B84</f>
        <v/>
      </c>
      <c r="C84" s="31" t="n"/>
      <c r="D84" s="31" t="n"/>
    </row>
    <row r="85" ht="24" customHeight="1">
      <c r="A85" s="29">
        <f>Roster!A85</f>
        <v/>
      </c>
      <c r="B85" s="30">
        <f>Roster!B85</f>
        <v/>
      </c>
      <c r="C85" s="31" t="n"/>
      <c r="D85" s="31" t="n"/>
    </row>
    <row r="86" ht="24" customHeight="1">
      <c r="A86" s="29">
        <f>Roster!A86</f>
        <v/>
      </c>
      <c r="B86" s="30">
        <f>Roster!B86</f>
        <v/>
      </c>
      <c r="C86" s="31" t="n"/>
      <c r="D86" s="31" t="n"/>
    </row>
    <row r="87" ht="24" customHeight="1">
      <c r="A87" s="29">
        <f>Roster!A87</f>
        <v/>
      </c>
      <c r="B87" s="30">
        <f>Roster!B87</f>
        <v/>
      </c>
      <c r="C87" s="31" t="n"/>
      <c r="D87" s="31" t="n"/>
    </row>
    <row r="88" ht="24" customHeight="1">
      <c r="A88" s="29">
        <f>Roster!A88</f>
        <v/>
      </c>
      <c r="B88" s="30">
        <f>Roster!B88</f>
        <v/>
      </c>
      <c r="C88" s="31" t="n"/>
      <c r="D88" s="31" t="n"/>
    </row>
    <row r="89" ht="24" customHeight="1">
      <c r="A89" s="29">
        <f>Roster!A89</f>
        <v/>
      </c>
      <c r="B89" s="30">
        <f>Roster!B89</f>
        <v/>
      </c>
      <c r="C89" s="31" t="n"/>
      <c r="D89" s="31" t="n"/>
    </row>
    <row r="90" ht="24" customHeight="1">
      <c r="A90" s="29">
        <f>Roster!A90</f>
        <v/>
      </c>
      <c r="B90" s="30">
        <f>Roster!B90</f>
        <v/>
      </c>
      <c r="C90" s="31" t="n"/>
      <c r="D90" s="31" t="n"/>
    </row>
    <row r="91" ht="24" customHeight="1">
      <c r="A91" s="29">
        <f>Roster!A91</f>
        <v/>
      </c>
      <c r="B91" s="30">
        <f>Roster!B91</f>
        <v/>
      </c>
      <c r="C91" s="31" t="n"/>
      <c r="D91" s="31" t="n"/>
    </row>
    <row r="92" ht="24" customHeight="1">
      <c r="A92" s="29">
        <f>Roster!A92</f>
        <v/>
      </c>
      <c r="B92" s="30">
        <f>Roster!B92</f>
        <v/>
      </c>
      <c r="C92" s="31" t="n"/>
      <c r="D92" s="31" t="n"/>
    </row>
    <row r="93" ht="24" customHeight="1">
      <c r="A93" s="29">
        <f>Roster!A93</f>
        <v/>
      </c>
      <c r="B93" s="30">
        <f>Roster!B93</f>
        <v/>
      </c>
      <c r="C93" s="31" t="n"/>
      <c r="D93" s="31" t="n"/>
    </row>
    <row r="94" ht="24" customHeight="1">
      <c r="A94" s="29">
        <f>Roster!A94</f>
        <v/>
      </c>
      <c r="B94" s="30">
        <f>Roster!B94</f>
        <v/>
      </c>
      <c r="C94" s="31" t="n"/>
      <c r="D94" s="31" t="n"/>
    </row>
    <row r="95" ht="24" customHeight="1">
      <c r="A95" s="29">
        <f>Roster!A95</f>
        <v/>
      </c>
      <c r="B95" s="30">
        <f>Roster!B95</f>
        <v/>
      </c>
      <c r="C95" s="31" t="n"/>
      <c r="D95" s="31" t="n"/>
    </row>
    <row r="96" ht="24" customHeight="1">
      <c r="A96" s="29">
        <f>Roster!A96</f>
        <v/>
      </c>
      <c r="B96" s="30">
        <f>Roster!B96</f>
        <v/>
      </c>
      <c r="C96" s="31" t="n"/>
      <c r="D96" s="31" t="n"/>
    </row>
    <row r="97" ht="24" customHeight="1">
      <c r="A97" s="29">
        <f>Roster!A97</f>
        <v/>
      </c>
      <c r="B97" s="30">
        <f>Roster!B97</f>
        <v/>
      </c>
      <c r="C97" s="31" t="n"/>
      <c r="D97" s="31" t="n"/>
    </row>
    <row r="98" ht="24" customHeight="1">
      <c r="A98" s="29">
        <f>Roster!A98</f>
        <v/>
      </c>
      <c r="B98" s="30">
        <f>Roster!B98</f>
        <v/>
      </c>
      <c r="C98" s="31" t="n"/>
      <c r="D98" s="31" t="n"/>
    </row>
    <row r="99" ht="24" customHeight="1">
      <c r="A99" s="29">
        <f>Roster!A99</f>
        <v/>
      </c>
      <c r="B99" s="30">
        <f>Roster!B99</f>
        <v/>
      </c>
      <c r="C99" s="31" t="n"/>
      <c r="D99" s="31" t="n"/>
    </row>
    <row r="100" ht="24" customHeight="1">
      <c r="A100" s="29">
        <f>Roster!A100</f>
        <v/>
      </c>
      <c r="B100" s="30">
        <f>Roster!B100</f>
        <v/>
      </c>
      <c r="C100" s="31" t="n"/>
      <c r="D100" s="31" t="n"/>
    </row>
    <row r="101" ht="24" customHeight="1">
      <c r="A101" s="29">
        <f>Roster!A101</f>
        <v/>
      </c>
      <c r="B101" s="30">
        <f>Roster!B101</f>
        <v/>
      </c>
      <c r="C101" s="31" t="n"/>
      <c r="D101" s="31" t="n"/>
    </row>
    <row r="102" ht="24" customHeight="1">
      <c r="A102" s="29">
        <f>Roster!A102</f>
        <v/>
      </c>
      <c r="B102" s="30">
        <f>Roster!B102</f>
        <v/>
      </c>
      <c r="C102" s="31" t="n"/>
      <c r="D102" s="31" t="n"/>
    </row>
    <row r="103" ht="24" customHeight="1">
      <c r="A103" s="29">
        <f>Roster!A103</f>
        <v/>
      </c>
      <c r="B103" s="30">
        <f>Roster!B103</f>
        <v/>
      </c>
      <c r="C103" s="31" t="n"/>
      <c r="D103" s="31" t="n"/>
    </row>
    <row r="104" ht="24" customHeight="1">
      <c r="A104" s="29">
        <f>Roster!A104</f>
        <v/>
      </c>
      <c r="B104" s="30">
        <f>Roster!B104</f>
        <v/>
      </c>
      <c r="C104" s="31" t="n"/>
      <c r="D104" s="31" t="n"/>
    </row>
    <row r="105" ht="24" customHeight="1">
      <c r="A105" s="29">
        <f>Roster!A105</f>
        <v/>
      </c>
      <c r="B105" s="30">
        <f>Roster!B105</f>
        <v/>
      </c>
      <c r="C105" s="31" t="n"/>
      <c r="D105" s="31" t="n"/>
    </row>
    <row r="106" ht="24" customHeight="1">
      <c r="A106" s="29">
        <f>Roster!A106</f>
        <v/>
      </c>
      <c r="B106" s="30">
        <f>Roster!B106</f>
        <v/>
      </c>
      <c r="C106" s="31" t="n"/>
      <c r="D106" s="31" t="n"/>
    </row>
    <row r="107" ht="24" customHeight="1">
      <c r="A107" s="29">
        <f>Roster!A107</f>
        <v/>
      </c>
      <c r="B107" s="30">
        <f>Roster!B107</f>
        <v/>
      </c>
      <c r="C107" s="31" t="n"/>
      <c r="D107" s="31" t="n"/>
    </row>
    <row r="108" ht="24" customHeight="1">
      <c r="A108" s="29">
        <f>Roster!A108</f>
        <v/>
      </c>
      <c r="B108" s="30">
        <f>Roster!B108</f>
        <v/>
      </c>
      <c r="C108" s="31" t="n"/>
      <c r="D108" s="31" t="n"/>
    </row>
    <row r="109" ht="24" customHeight="1">
      <c r="A109" s="29">
        <f>Roster!A109</f>
        <v/>
      </c>
      <c r="B109" s="30">
        <f>Roster!B109</f>
        <v/>
      </c>
      <c r="C109" s="31" t="n"/>
      <c r="D109" s="31" t="n"/>
    </row>
    <row r="110" ht="24" customHeight="1">
      <c r="A110" s="29">
        <f>Roster!A110</f>
        <v/>
      </c>
      <c r="B110" s="30">
        <f>Roster!B110</f>
        <v/>
      </c>
      <c r="C110" s="31" t="n"/>
      <c r="D110" s="31" t="n"/>
    </row>
    <row r="111" ht="24" customHeight="1">
      <c r="A111" s="29">
        <f>Roster!A111</f>
        <v/>
      </c>
      <c r="B111" s="30">
        <f>Roster!B111</f>
        <v/>
      </c>
      <c r="C111" s="31" t="n"/>
      <c r="D111" s="31" t="n"/>
    </row>
    <row r="112" ht="24" customHeight="1">
      <c r="A112" s="29">
        <f>Roster!A112</f>
        <v/>
      </c>
      <c r="B112" s="30">
        <f>Roster!B112</f>
        <v/>
      </c>
      <c r="C112" s="31" t="n"/>
      <c r="D112" s="31" t="n"/>
    </row>
    <row r="113" ht="24" customHeight="1">
      <c r="A113" s="29">
        <f>Roster!A113</f>
        <v/>
      </c>
      <c r="B113" s="30">
        <f>Roster!B113</f>
        <v/>
      </c>
      <c r="C113" s="31" t="n"/>
      <c r="D113" s="31" t="n"/>
    </row>
    <row r="114" ht="24" customHeight="1">
      <c r="A114" s="29">
        <f>Roster!A114</f>
        <v/>
      </c>
      <c r="B114" s="30">
        <f>Roster!B114</f>
        <v/>
      </c>
      <c r="C114" s="31" t="n"/>
      <c r="D114" s="31" t="n"/>
    </row>
    <row r="115" ht="24" customHeight="1">
      <c r="A115" s="29">
        <f>Roster!A115</f>
        <v/>
      </c>
      <c r="B115" s="30">
        <f>Roster!B115</f>
        <v/>
      </c>
      <c r="C115" s="31" t="n"/>
      <c r="D115" s="31" t="n"/>
    </row>
    <row r="116" ht="24" customHeight="1">
      <c r="A116" s="29">
        <f>Roster!A116</f>
        <v/>
      </c>
      <c r="B116" s="30">
        <f>Roster!B116</f>
        <v/>
      </c>
      <c r="C116" s="31" t="n"/>
      <c r="D116" s="31" t="n"/>
    </row>
    <row r="117" ht="24" customHeight="1">
      <c r="A117" s="29">
        <f>Roster!A117</f>
        <v/>
      </c>
      <c r="B117" s="30">
        <f>Roster!B117</f>
        <v/>
      </c>
      <c r="C117" s="31" t="n"/>
      <c r="D117" s="31" t="n"/>
    </row>
    <row r="118" ht="24" customHeight="1">
      <c r="A118" s="29">
        <f>Roster!A118</f>
        <v/>
      </c>
      <c r="B118" s="30">
        <f>Roster!B118</f>
        <v/>
      </c>
      <c r="C118" s="31" t="n"/>
      <c r="D118" s="31" t="n"/>
    </row>
    <row r="119" ht="24" customHeight="1">
      <c r="A119" s="29">
        <f>Roster!A119</f>
        <v/>
      </c>
      <c r="B119" s="30">
        <f>Roster!B119</f>
        <v/>
      </c>
      <c r="C119" s="31" t="n"/>
      <c r="D119" s="31" t="n"/>
    </row>
    <row r="120" ht="24" customHeight="1">
      <c r="A120" s="29">
        <f>Roster!A120</f>
        <v/>
      </c>
      <c r="B120" s="30">
        <f>Roster!B120</f>
        <v/>
      </c>
      <c r="C120" s="31" t="n"/>
      <c r="D120" s="31" t="n"/>
    </row>
    <row r="121" ht="24" customHeight="1">
      <c r="A121" s="29">
        <f>Roster!A121</f>
        <v/>
      </c>
      <c r="B121" s="30">
        <f>Roster!B121</f>
        <v/>
      </c>
      <c r="C121" s="31" t="n"/>
      <c r="D121" s="31" t="n"/>
    </row>
    <row r="122" ht="24" customHeight="1">
      <c r="A122" s="29">
        <f>Roster!A122</f>
        <v/>
      </c>
      <c r="B122" s="30">
        <f>Roster!B122</f>
        <v/>
      </c>
      <c r="C122" s="31" t="n"/>
      <c r="D122" s="31" t="n"/>
    </row>
    <row r="123" ht="24" customHeight="1">
      <c r="A123" s="29">
        <f>Roster!A123</f>
        <v/>
      </c>
      <c r="B123" s="30">
        <f>Roster!B123</f>
        <v/>
      </c>
      <c r="C123" s="31" t="n"/>
      <c r="D123" s="31" t="n"/>
    </row>
    <row r="124" ht="24" customHeight="1">
      <c r="A124" s="29">
        <f>Roster!A124</f>
        <v/>
      </c>
      <c r="B124" s="30">
        <f>Roster!B124</f>
        <v/>
      </c>
      <c r="C124" s="31" t="n"/>
      <c r="D124" s="31" t="n"/>
    </row>
    <row r="125" ht="24" customHeight="1">
      <c r="A125" s="29">
        <f>Roster!A125</f>
        <v/>
      </c>
      <c r="B125" s="30">
        <f>Roster!B125</f>
        <v/>
      </c>
      <c r="C125" s="31" t="n"/>
      <c r="D125" s="31" t="n"/>
    </row>
    <row r="126" ht="24" customHeight="1">
      <c r="A126" s="29">
        <f>Roster!A126</f>
        <v/>
      </c>
      <c r="B126" s="30">
        <f>Roster!B126</f>
        <v/>
      </c>
      <c r="C126" s="31" t="n"/>
      <c r="D126" s="31" t="n"/>
    </row>
    <row r="127" ht="24" customHeight="1">
      <c r="A127" s="29">
        <f>Roster!A127</f>
        <v/>
      </c>
      <c r="B127" s="30">
        <f>Roster!B127</f>
        <v/>
      </c>
      <c r="C127" s="31" t="n"/>
      <c r="D127" s="31" t="n"/>
    </row>
    <row r="128" ht="24" customHeight="1">
      <c r="A128" s="29">
        <f>Roster!A128</f>
        <v/>
      </c>
      <c r="B128" s="30">
        <f>Roster!B128</f>
        <v/>
      </c>
      <c r="C128" s="31" t="n"/>
      <c r="D128" s="31" t="n"/>
    </row>
    <row r="129" ht="24" customHeight="1">
      <c r="A129" s="29">
        <f>Roster!A129</f>
        <v/>
      </c>
      <c r="B129" s="30">
        <f>Roster!B129</f>
        <v/>
      </c>
      <c r="C129" s="31" t="n"/>
      <c r="D129" s="31" t="n"/>
    </row>
    <row r="130" ht="24" customHeight="1">
      <c r="A130" s="29">
        <f>Roster!A130</f>
        <v/>
      </c>
      <c r="B130" s="30">
        <f>Roster!B130</f>
        <v/>
      </c>
      <c r="C130" s="31" t="n"/>
      <c r="D130" s="31" t="n"/>
    </row>
    <row r="131" ht="24" customHeight="1">
      <c r="A131" s="29">
        <f>Roster!A131</f>
        <v/>
      </c>
      <c r="B131" s="30">
        <f>Roster!B131</f>
        <v/>
      </c>
      <c r="C131" s="31" t="n"/>
      <c r="D131" s="31" t="n"/>
    </row>
    <row r="132" ht="24" customHeight="1">
      <c r="A132" s="29">
        <f>Roster!A132</f>
        <v/>
      </c>
      <c r="B132" s="30">
        <f>Roster!B132</f>
        <v/>
      </c>
      <c r="C132" s="31" t="n"/>
      <c r="D132" s="31" t="n"/>
    </row>
    <row r="133" ht="24" customHeight="1">
      <c r="A133" s="29">
        <f>Roster!A133</f>
        <v/>
      </c>
      <c r="B133" s="30">
        <f>Roster!B133</f>
        <v/>
      </c>
      <c r="C133" s="31" t="n"/>
      <c r="D133" s="31" t="n"/>
    </row>
    <row r="134" ht="24" customHeight="1">
      <c r="A134" s="29">
        <f>Roster!A134</f>
        <v/>
      </c>
      <c r="B134" s="30">
        <f>Roster!B134</f>
        <v/>
      </c>
      <c r="C134" s="31" t="n"/>
      <c r="D134" s="31" t="n"/>
    </row>
    <row r="135" ht="24" customHeight="1">
      <c r="A135" s="29">
        <f>Roster!A135</f>
        <v/>
      </c>
      <c r="B135" s="30">
        <f>Roster!B135</f>
        <v/>
      </c>
      <c r="C135" s="31" t="n"/>
      <c r="D135" s="31" t="n"/>
    </row>
    <row r="136" ht="24" customHeight="1">
      <c r="A136" s="29">
        <f>Roster!A136</f>
        <v/>
      </c>
      <c r="B136" s="30">
        <f>Roster!B136</f>
        <v/>
      </c>
      <c r="C136" s="31" t="n"/>
      <c r="D136" s="31" t="n"/>
    </row>
    <row r="137" ht="24" customHeight="1">
      <c r="A137" s="29">
        <f>Roster!A137</f>
        <v/>
      </c>
      <c r="B137" s="30">
        <f>Roster!B137</f>
        <v/>
      </c>
      <c r="C137" s="31" t="n"/>
      <c r="D137" s="31" t="n"/>
    </row>
    <row r="138" ht="24" customHeight="1">
      <c r="A138" s="29">
        <f>Roster!A138</f>
        <v/>
      </c>
      <c r="B138" s="30">
        <f>Roster!B138</f>
        <v/>
      </c>
      <c r="C138" s="31" t="n"/>
      <c r="D138" s="31" t="n"/>
    </row>
    <row r="139" ht="24" customHeight="1">
      <c r="A139" s="29">
        <f>Roster!A139</f>
        <v/>
      </c>
      <c r="B139" s="30">
        <f>Roster!B139</f>
        <v/>
      </c>
      <c r="C139" s="31" t="n"/>
      <c r="D139" s="31" t="n"/>
    </row>
    <row r="140" ht="24" customHeight="1">
      <c r="A140" s="29">
        <f>Roster!A140</f>
        <v/>
      </c>
      <c r="B140" s="30">
        <f>Roster!B140</f>
        <v/>
      </c>
      <c r="C140" s="31" t="n"/>
      <c r="D140" s="31" t="n"/>
    </row>
    <row r="141" ht="24" customHeight="1">
      <c r="A141" s="29">
        <f>Roster!A141</f>
        <v/>
      </c>
      <c r="B141" s="30">
        <f>Roster!B141</f>
        <v/>
      </c>
      <c r="C141" s="31" t="n"/>
      <c r="D141" s="31" t="n"/>
    </row>
    <row r="142" ht="24" customHeight="1">
      <c r="A142" s="29">
        <f>Roster!A142</f>
        <v/>
      </c>
      <c r="B142" s="30">
        <f>Roster!B142</f>
        <v/>
      </c>
      <c r="C142" s="31" t="n"/>
      <c r="D142" s="31" t="n"/>
    </row>
    <row r="143" ht="24" customHeight="1">
      <c r="A143" s="29">
        <f>Roster!A143</f>
        <v/>
      </c>
      <c r="B143" s="30">
        <f>Roster!B143</f>
        <v/>
      </c>
      <c r="C143" s="31" t="n"/>
      <c r="D143" s="31" t="n"/>
    </row>
    <row r="144" ht="24" customHeight="1">
      <c r="A144" s="29">
        <f>Roster!A144</f>
        <v/>
      </c>
      <c r="B144" s="30">
        <f>Roster!B144</f>
        <v/>
      </c>
      <c r="C144" s="31" t="n"/>
      <c r="D144" s="31" t="n"/>
    </row>
    <row r="145" ht="24" customHeight="1">
      <c r="A145" s="29">
        <f>Roster!A145</f>
        <v/>
      </c>
      <c r="B145" s="30">
        <f>Roster!B145</f>
        <v/>
      </c>
      <c r="C145" s="31" t="n"/>
      <c r="D145" s="31" t="n"/>
    </row>
    <row r="146" ht="24" customHeight="1">
      <c r="A146" s="29">
        <f>Roster!A146</f>
        <v/>
      </c>
      <c r="B146" s="30">
        <f>Roster!B146</f>
        <v/>
      </c>
      <c r="C146" s="31" t="n"/>
      <c r="D146" s="31" t="n"/>
    </row>
    <row r="147" ht="24" customHeight="1">
      <c r="A147" s="29">
        <f>Roster!A147</f>
        <v/>
      </c>
      <c r="B147" s="30">
        <f>Roster!B147</f>
        <v/>
      </c>
      <c r="C147" s="31" t="n"/>
      <c r="D147" s="31" t="n"/>
    </row>
    <row r="148" ht="24" customHeight="1">
      <c r="A148" s="29">
        <f>Roster!A148</f>
        <v/>
      </c>
      <c r="B148" s="30">
        <f>Roster!B148</f>
        <v/>
      </c>
      <c r="C148" s="31" t="n"/>
      <c r="D148" s="31" t="n"/>
    </row>
    <row r="149" ht="24" customHeight="1">
      <c r="A149" s="29">
        <f>Roster!A149</f>
        <v/>
      </c>
      <c r="B149" s="30">
        <f>Roster!B149</f>
        <v/>
      </c>
      <c r="C149" s="31" t="n"/>
      <c r="D149" s="31" t="n"/>
    </row>
    <row r="150" ht="24" customHeight="1">
      <c r="A150" s="29">
        <f>Roster!A150</f>
        <v/>
      </c>
      <c r="B150" s="30">
        <f>Roster!B150</f>
        <v/>
      </c>
      <c r="C150" s="31" t="n"/>
      <c r="D150" s="31" t="n"/>
    </row>
    <row r="151" ht="24" customHeight="1">
      <c r="A151" s="29">
        <f>Roster!A151</f>
        <v/>
      </c>
      <c r="B151" s="30">
        <f>Roster!B151</f>
        <v/>
      </c>
      <c r="C151" s="31" t="n"/>
      <c r="D151" s="31" t="n"/>
    </row>
    <row r="152" ht="24" customHeight="1">
      <c r="A152" s="29">
        <f>Roster!A152</f>
        <v/>
      </c>
      <c r="B152" s="30">
        <f>Roster!B152</f>
        <v/>
      </c>
      <c r="C152" s="31" t="n"/>
      <c r="D152" s="31" t="n"/>
    </row>
    <row r="153" ht="24" customHeight="1">
      <c r="A153" s="29">
        <f>Roster!A153</f>
        <v/>
      </c>
      <c r="B153" s="30">
        <f>Roster!B153</f>
        <v/>
      </c>
      <c r="C153" s="31" t="n"/>
      <c r="D153" s="31" t="n"/>
    </row>
    <row r="154" ht="24" customHeight="1">
      <c r="A154" s="29">
        <f>Roster!A154</f>
        <v/>
      </c>
      <c r="B154" s="30">
        <f>Roster!B154</f>
        <v/>
      </c>
      <c r="C154" s="31" t="n"/>
      <c r="D154" s="31" t="n"/>
    </row>
    <row r="155" ht="24" customHeight="1">
      <c r="A155" s="29">
        <f>Roster!A155</f>
        <v/>
      </c>
      <c r="B155" s="30">
        <f>Roster!B155</f>
        <v/>
      </c>
      <c r="C155" s="31" t="n"/>
      <c r="D155" s="31" t="n"/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4B2E83"/>
    <outlinePr summaryBelow="1" summaryRight="1"/>
    <pageSetUpPr/>
  </sheetPr>
  <dimension ref="A1:B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23" t="inlineStr">
        <is>
          <t>Summary: the class at a glance</t>
        </is>
      </c>
    </row>
    <row r="2">
      <c r="A2" s="24" t="inlineStr">
        <is>
          <t>Type the class name, date and seats in the yellow cells. Counts come from the Sign-ups tab.</t>
        </is>
      </c>
    </row>
    <row r="3">
      <c r="A3" s="25">
        <f>IF(COUNTIF('Sign-ups'!$A$2:$A$301,"EXAMPLE*")&gt;0,"You are looking at EXAMPLE data. Clear A2 to AB9 on Sign-ups, then paste your own.","")</f>
        <v/>
      </c>
    </row>
    <row r="5">
      <c r="A5" s="32" t="inlineStr">
        <is>
          <t>Class name (for the sign-in sheet)</t>
        </is>
      </c>
      <c r="B5" s="33" t="n"/>
    </row>
    <row r="6">
      <c r="A6" s="32" t="inlineStr">
        <is>
          <t>Class date</t>
        </is>
      </c>
      <c r="B6" s="34" t="n"/>
    </row>
    <row r="7">
      <c r="A7" s="32" t="inlineStr">
        <is>
          <t>Seats in this class (your number)</t>
        </is>
      </c>
      <c r="B7" s="33" t="n"/>
    </row>
    <row r="9">
      <c r="A9" s="3" t="inlineStr">
        <is>
          <t>Sign-ups</t>
        </is>
      </c>
      <c r="B9" s="3" t="inlineStr">
        <is>
          <t>Count</t>
        </is>
      </c>
    </row>
    <row r="10">
      <c r="A10" s="27" t="inlineStr">
        <is>
          <t>Signed up</t>
        </is>
      </c>
      <c r="B10" s="35">
        <f>SUM('Sign-ups'!$AD$2:$AD$301)</f>
        <v/>
      </c>
    </row>
    <row r="11">
      <c r="A11" s="27" t="inlineStr">
        <is>
          <t>Seats left</t>
        </is>
      </c>
      <c r="B11" s="35">
        <f>IF(ISNUMBER(B7),B7-B10,"")</f>
        <v/>
      </c>
    </row>
    <row r="12">
      <c r="A12" s="27" t="inlineStr">
        <is>
          <t>First course</t>
        </is>
      </c>
      <c r="B12" s="35">
        <f>COUNTIF('Sign-ups'!$AG$2:$AG$301,"First course")</f>
        <v/>
      </c>
    </row>
    <row r="13">
      <c r="A13" s="27" t="inlineStr">
        <is>
          <t>Renewal</t>
        </is>
      </c>
      <c r="B13" s="35">
        <f>COUNTIF('Sign-ups'!$AG$2:$AG$301,"Renewal")</f>
        <v/>
      </c>
    </row>
    <row r="15">
      <c r="A15" s="3" t="inlineStr">
        <is>
          <t>By course</t>
        </is>
      </c>
      <c r="B15" s="3" t="inlineStr">
        <is>
          <t>Count</t>
        </is>
      </c>
    </row>
    <row r="16">
      <c r="A16" s="27" t="inlineStr">
        <is>
          <t>CPR and AED</t>
        </is>
      </c>
      <c r="B16" s="35">
        <f>COUNTIF('Sign-ups'!$AF$2:$AF$301,"CPR and AED")</f>
        <v/>
      </c>
    </row>
    <row r="17">
      <c r="A17" s="27" t="inlineStr">
        <is>
          <t>CPR, AED and first aid</t>
        </is>
      </c>
      <c r="B17" s="35">
        <f>COUNTIF('Sign-ups'!$AF$2:$AF$301,"CPR, AED and first aid")</f>
        <v/>
      </c>
    </row>
    <row r="18">
      <c r="A18" s="27" t="inlineStr">
        <is>
          <t>Pediatric CPR and first aid</t>
        </is>
      </c>
      <c r="B18" s="35">
        <f>COUNTIF('Sign-ups'!$AF$2:$AF$301,"Pediatric CPR and first aid")</f>
        <v/>
      </c>
    </row>
    <row r="19">
      <c r="A19" s="27" t="inlineStr">
        <is>
          <t>BLS for healthcare providers</t>
        </is>
      </c>
      <c r="B19" s="35">
        <f>COUNTIF('Sign-ups'!$AF$2:$AF$301,"BLS for healthcare providers")</f>
        <v/>
      </c>
    </row>
    <row r="20">
      <c r="A20" s="27" t="inlineStr">
        <is>
          <t>Not sure, please help me choose</t>
        </is>
      </c>
      <c r="B20" s="35">
        <f>COUNTIF('Sign-ups'!$AF$2:$AF$301,"Not sure, please help me choose")</f>
        <v/>
      </c>
    </row>
    <row r="22">
      <c r="A22" s="3" t="inlineStr">
        <is>
          <t>Materials and fees</t>
        </is>
      </c>
      <c r="B22" s="3" t="inlineStr">
        <is>
          <t>Count</t>
        </is>
      </c>
    </row>
    <row r="23">
      <c r="A23" s="27" t="inlineStr">
        <is>
          <t>Student manuals to bring</t>
        </is>
      </c>
      <c r="B23" s="35">
        <f>COUNTIF('Sign-ups'!$AJ$2:$AJ$301,"Yes")</f>
        <v/>
      </c>
    </row>
    <row r="24">
      <c r="A24" s="27" t="inlineStr">
        <is>
          <t>Paid</t>
        </is>
      </c>
      <c r="B24" s="35">
        <f>COUNTIF('Sign-ups'!$AN$2:$AN$301,"Paid*")</f>
        <v/>
      </c>
    </row>
    <row r="25">
      <c r="A25" s="27" t="inlineStr">
        <is>
          <t>Unpaid</t>
        </is>
      </c>
      <c r="B25" s="35">
        <f>COUNTIF('Sign-ups'!$AN$2:$AN$301,"Unpaid")</f>
        <v/>
      </c>
    </row>
    <row r="26">
      <c r="A26" s="27" t="inlineStr">
        <is>
          <t>Parent or guardian phone on file</t>
        </is>
      </c>
      <c r="B26" s="35">
        <f>SUMPRODUCT(('Sign-ups'!$AD$2:$AD$301=1)*(LEN('Sign-ups'!$AK$2:$AK$301)&gt;0))</f>
        <v/>
      </c>
    </row>
    <row r="27">
      <c r="A27" s="14" t="inlineStr">
        <is>
          <t>Sign-up counts only people who gave a name. Paid counts Payment status Paid and your Paid by hand cells.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C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" customWidth="1" min="1" max="1"/>
    <col width="3" customWidth="1" min="2" max="2"/>
    <col width="10" customWidth="1" min="3" max="3"/>
    <col width="3" customWidth="1" min="4" max="4"/>
    <col width="44" customWidth="1" min="5" max="5"/>
    <col width="60" customWidth="1" min="6" max="6"/>
  </cols>
  <sheetData>
    <row r="1" ht="32" customHeight="1">
      <c r="C1" s="3" t="inlineStr">
        <is>
          <t>Yes or No</t>
        </is>
      </c>
      <c r="E1" s="3" t="inlineStr">
        <is>
          <t>Column names to look for</t>
        </is>
      </c>
      <c r="F1" s="3" t="inlineStr">
        <is>
          <t>Header in your export (edit if you renamed a question)</t>
        </is>
      </c>
    </row>
    <row r="2">
      <c r="C2" s="22" t="inlineStr">
        <is>
          <t>Yes</t>
        </is>
      </c>
      <c r="E2" s="36" t="inlineStr">
        <is>
          <t>Name as it should appear on the card</t>
        </is>
      </c>
      <c r="F2" s="22" t="inlineStr">
        <is>
          <t>Full name as it should appear on your card</t>
        </is>
      </c>
    </row>
    <row r="3">
      <c r="C3" s="22" t="inlineStr">
        <is>
          <t>No</t>
        </is>
      </c>
      <c r="E3" s="36" t="inlineStr">
        <is>
          <t>Course</t>
        </is>
      </c>
      <c r="F3" s="22" t="inlineStr">
        <is>
          <t>Which course would you like?</t>
        </is>
      </c>
    </row>
    <row r="4">
      <c r="E4" s="36" t="inlineStr">
        <is>
          <t>First course or renewal</t>
        </is>
      </c>
      <c r="F4" s="22" t="inlineStr">
        <is>
          <t>Is this your first course or a renewal?</t>
        </is>
      </c>
    </row>
    <row r="5">
      <c r="E5" s="36" t="inlineStr">
        <is>
          <t>Email</t>
        </is>
      </c>
      <c r="F5" s="22" t="inlineStr">
        <is>
          <t>Email</t>
        </is>
      </c>
    </row>
    <row r="6">
      <c r="E6" s="36" t="inlineStr">
        <is>
          <t>Phone</t>
        </is>
      </c>
      <c r="F6" s="22" t="inlineStr">
        <is>
          <t>Phone</t>
        </is>
      </c>
    </row>
    <row r="7">
      <c r="E7" s="36" t="inlineStr">
        <is>
          <t>Student manual</t>
        </is>
      </c>
      <c r="F7" s="22" t="inlineStr">
        <is>
          <t>Do you need a student manual?</t>
        </is>
      </c>
    </row>
    <row r="8">
      <c r="E8" s="36" t="inlineStr">
        <is>
          <t>Parent or guardian phone</t>
        </is>
      </c>
      <c r="F8" s="22" t="inlineStr">
        <is>
          <t>Parent or guardian phone</t>
        </is>
      </c>
    </row>
    <row r="9">
      <c r="E9" s="36" t="inlineStr">
        <is>
          <t>Class fee on the form</t>
        </is>
      </c>
      <c r="F9" s="22" t="inlineStr">
        <is>
          <t>class_fee</t>
        </is>
      </c>
    </row>
    <row r="10">
      <c r="E10" s="36" t="inlineStr">
        <is>
          <t>Payment status (only if the form has a Payment block)</t>
        </is>
      </c>
      <c r="F10" s="22" t="inlineStr">
        <is>
          <t>Payment status</t>
        </is>
      </c>
    </row>
    <row r="12">
      <c r="E12" s="14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2026-10-27T11:13:00Z</dcterms:created>
  <dcterms:modified xmlns:dcterms="http://purl.org/dc/terms/" xmlns:xsi="http://www.w3.org/2001/XMLSchema-instance" xsi:type="dcterms:W3CDTF">2026-10-27T11:13:00Z</dcterms:modified>
</cp:coreProperties>
</file>