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kills" sheetId="2" state="visible" r:id="rId2"/>
    <sheet xmlns:r="http://schemas.openxmlformats.org/officeDocument/2006/relationships" name="Current board" sheetId="3" state="visible" r:id="rId3"/>
    <sheet xmlns:r="http://schemas.openxmlformats.org/officeDocument/2006/relationships" name="Candidates" sheetId="4" state="visible" r:id="rId4"/>
    <sheet xmlns:r="http://schemas.openxmlformats.org/officeDocument/2006/relationships" name="Ranking" sheetId="5" state="visible" r:id="rId5"/>
    <sheet xmlns:r="http://schemas.openxmlformats.org/officeDocument/2006/relationships" name="Lists" sheetId="6" state="visible" r:id="rId6"/>
  </sheets>
  <definedNames>
    <definedName name="_xlnm.Print_Titles" localSheetId="4">'Ranking'!$4:$4</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i val="1"/>
      <color rgb="005E5468"/>
      <sz val="10"/>
    </font>
    <font>
      <name val="Arial"/>
      <color rgb="005E5468"/>
      <sz val="9"/>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
      <patternFill patternType="solid">
        <fgColor rgb="005E5468"/>
      </patternFill>
    </fill>
    <fill>
      <patternFill patternType="solid">
        <fgColor rgb="00D9D3E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7"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6" fillId="0" borderId="1" applyAlignment="1" pivotButton="0" quotePrefix="0" xfId="0">
      <alignment horizontal="center"/>
    </xf>
    <xf numFmtId="0" fontId="6" fillId="3" borderId="1" pivotButton="0" quotePrefix="0" xfId="0"/>
    <xf numFmtId="0" fontId="6" fillId="3" borderId="1" applyAlignment="1" pivotButton="0" quotePrefix="0" xfId="0">
      <alignment horizontal="center"/>
    </xf>
    <xf numFmtId="0" fontId="10" fillId="0" borderId="1" applyAlignment="1" pivotButton="0" quotePrefix="0" xfId="0">
      <alignment horizontal="center"/>
    </xf>
    <xf numFmtId="0" fontId="6" fillId="4" borderId="1" applyAlignment="1" pivotButton="0" quotePrefix="0" xfId="0">
      <alignment horizontal="center"/>
    </xf>
    <xf numFmtId="0" fontId="5" fillId="0" borderId="0" pivotButton="0" quotePrefix="0" xfId="0"/>
    <xf numFmtId="0" fontId="5" fillId="4" borderId="1" applyAlignment="1" pivotButton="0" quotePrefix="0" xfId="0">
      <alignment horizontal="center"/>
    </xf>
    <xf numFmtId="0" fontId="11" fillId="0" borderId="0" applyAlignment="1" pivotButton="0" quotePrefix="0" xfId="0">
      <alignment wrapText="1"/>
    </xf>
    <xf numFmtId="0" fontId="10" fillId="3" borderId="1" pivotButton="0" quotePrefix="0" xfId="0"/>
    <xf numFmtId="0" fontId="10" fillId="3" borderId="1" applyAlignment="1" pivotButton="0" quotePrefix="0" xfId="0">
      <alignment horizontal="center"/>
    </xf>
    <xf numFmtId="0" fontId="3" fillId="8" borderId="1" applyAlignment="1" pivotButton="0" quotePrefix="0" xfId="0">
      <alignment vertical="center" wrapText="1"/>
    </xf>
    <xf numFmtId="0" fontId="10" fillId="0" borderId="0" pivotButton="0" quotePrefix="0" xfId="0"/>
    <xf numFmtId="0" fontId="6" fillId="4" borderId="1" pivotButton="0" quotePrefix="0" xfId="0"/>
    <xf numFmtId="0" fontId="6" fillId="4" borderId="1" applyAlignment="1" pivotButton="0" quotePrefix="0" xfId="0">
      <alignment horizontal="center" vertical="top"/>
    </xf>
    <xf numFmtId="0" fontId="5" fillId="4" borderId="1" applyAlignment="1" pivotButton="0" quotePrefix="0" xfId="0">
      <alignment vertical="top" wrapText="1"/>
    </xf>
    <xf numFmtId="0" fontId="6" fillId="4" borderId="1" applyAlignment="1" pivotButton="0" quotePrefix="0" xfId="0">
      <alignment vertical="top" wrapText="1"/>
    </xf>
    <xf numFmtId="0" fontId="6" fillId="0" borderId="1" pivotButton="0" quotePrefix="0" xfId="0"/>
  </cellXfs>
  <cellStyles count="1">
    <cellStyle name="Normal" xfId="0" builtinId="0" hidden="0"/>
  </cellStyles>
  <dxfs count="1">
    <dxf>
      <fill>
        <patternFill patternType="solid">
          <fgColor rgb="00E4DEFA"/>
          <bgColor rgb="00E4DEF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HornetForms</author>
  </authors>
  <commentList>
    <comment ref="B4" authorId="0" shapeId="0">
      <text>
        <t>The skills your board needs, one per row. They start with the form's own options so answers match. Matching looks for this text inside the candidate's skills answer.</t>
      </text>
    </comment>
    <comment ref="C4" authorId="0" shapeId="0">
      <text>
        <t>How many current members you want to have this skill. Your number. Leave empty and the sheet wants at least one.</t>
      </text>
    </comment>
    <comment ref="G4" authorId="0" shapeId="0">
      <text>
        <t>Members wanted minus members who have it, never below 0. A gap above 0 is what candidates are ranked on.</t>
      </text>
    </comment>
  </commentList>
</comments>
</file>

<file path=xl/comments/comment2.xml><?xml version="1.0" encoding="utf-8"?>
<comments xmlns="http://schemas.openxmlformats.org/spreadsheetml/2006/main">
  <authors>
    <author>HornetForms</author>
  </authors>
  <commentList>
    <comment ref="A1" authorId="0" shapeId="0">
      <text>
        <t>One row per current board member. Type a name, then an x under each skill that member has. Rows starting with EXAMPLE are made up: clear them first.</t>
      </text>
    </comment>
    <comment ref="B1" authorId="0" shapeId="0">
      <text>
        <t>These headers come from the Skills tab. Type an x (any mark) for each skill a member has.</t>
      </text>
    </comment>
  </commentList>
</comments>
</file>

<file path=xl/comments/comment3.xml><?xml version="1.0" encoding="utf-8"?>
<comments xmlns="http://schemas.openxmlformats.org/spreadsheetml/2006/main">
  <authors>
    <author>HornetForms</author>
  </authors>
  <commentList>
    <comment ref="A1" authorId="0" shapeId="0">
      <text>
        <t>Paste your HornetForms CSV here, starting at this cell, headers included. Rows 2 to 11 are EXAMPLE data: clear A2 to X11 and AD2 to AP11 first.</t>
      </text>
    </comment>
    <comment ref="AD1" authorId="0" shapeId="0">
      <text>
        <t>Pick New, Conversation booked, Recommended or Not this year. Your own call.</t>
      </text>
    </comment>
    <comment ref="AE1" authorId="0" shapeId="0">
      <text>
        <t>Type an x to add a skill this person brings: for a nominee, or when the form answer does not show it. The sheet never decides this for you.</t>
      </text>
    </comment>
    <comment ref="AX1" authorId="0" shapeId="0">
      <text>
        <t>1 when the skill is in the candidate's skills answer or you typed an x. Please do not type here.</t>
      </text>
    </comment>
    <comment ref="BJ1" authorId="0" shapeId="0">
      <text>
        <t>How many of the board's skill gaps this person brings. Each gap counts once.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231A2E"/>
    <outlinePr summaryBelow="1" summaryRight="1"/>
    <pageSetUpPr/>
  </sheetPr>
  <dimension ref="B2: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Board recruitment matrix</t>
        </is>
      </c>
    </row>
    <row r="3">
      <c r="B3" s="2" t="inlineStr">
        <is>
          <t>See which skills your board lacks, then rank applicants and nominees by how many gaps they fill. Works in Excel and Google Sheets.</t>
        </is>
      </c>
    </row>
    <row r="4">
      <c r="B4" s="3">
        <f>IF(COUNTIF(Candidates!$A$2:$A$301,"EXAMPLE*")+COUNTIF('Current board'!$A$2:$A$26,"EXAMPLE*")&gt;0,"You are looking at EXAMPLE data. Clear the EXAMPLE rows on Candidates and Current board, then add your own.","")</f>
        <v/>
      </c>
    </row>
    <row r="5">
      <c r="B5" s="4" t="inlineStr">
        <is>
          <t>Step</t>
        </is>
      </c>
      <c r="C5" s="4" t="inlineStr">
        <is>
          <t>What to do</t>
        </is>
      </c>
      <c r="D5" s="4" t="inlineStr">
        <is>
          <t>How</t>
        </is>
      </c>
    </row>
    <row r="6" ht="51" customHeight="1">
      <c r="B6" s="5" t="n">
        <v>1</v>
      </c>
      <c r="C6" s="6" t="inlineStr">
        <is>
          <t>List the skills your board needs</t>
        </is>
      </c>
      <c r="D6" s="7" t="inlineStr">
        <is>
          <t>On Skills, edit the yellow skill names (up to 12). They start with the form's own skill options. Type how many members you want with each skill. Leave it empty and the sheet wants at least one.</t>
        </is>
      </c>
    </row>
    <row r="7" ht="44" customHeight="1">
      <c r="B7" s="5" t="n">
        <v>2</v>
      </c>
      <c r="C7" s="6" t="inlineStr">
        <is>
          <t>Mark what the board has today</t>
        </is>
      </c>
      <c r="D7" s="7" t="inlineStr">
        <is>
          <t>On Current board, type each member's name and an x under each skill they have. Gaps on Skills update by themselves.</t>
        </is>
      </c>
    </row>
    <row r="8" ht="44" customHeight="1">
      <c r="B8" s="5" t="n">
        <v>3</v>
      </c>
      <c r="C8" s="6" t="inlineStr">
        <is>
          <t>Get your applications out of HornetForms</t>
        </is>
      </c>
      <c r="D8" s="7" t="inlineStr">
        <is>
          <t>Open your form, go to Responses, then Export, then CSV. Or use the Google Sheets sync.</t>
        </is>
      </c>
    </row>
    <row r="9" ht="44" customHeight="1">
      <c r="B9" s="5" t="n">
        <v>4</v>
      </c>
      <c r="C9" s="6" t="inlineStr">
        <is>
          <t>Paste them on Candidates</t>
        </is>
      </c>
      <c r="D9" s="7" t="inlineStr">
        <is>
          <t>Clear A2 to X11 and the yellow cells AD2 to AP11 (the EXAMPLE rows). Then click A1 and paste your CSV, headers included.</t>
        </is>
      </c>
    </row>
    <row r="10" ht="51" customHeight="1">
      <c r="B10" s="5" t="n">
        <v>5</v>
      </c>
      <c r="C10" s="6" t="inlineStr">
        <is>
          <t>Add what the form cannot tell you</t>
        </is>
      </c>
      <c r="D10" s="7" t="inlineStr">
        <is>
          <t>Applicants who pick skills on the form are matched to your skill names. For nominees, or to add a skill, type an x in the yellow skill columns. Pick a Status for each candidate.</t>
        </is>
      </c>
    </row>
    <row r="11" ht="44" customHeight="1">
      <c r="B11" s="5" t="n">
        <v>6</v>
      </c>
      <c r="C11" s="6" t="inlineStr">
        <is>
          <t>Read the Ranking</t>
        </is>
      </c>
      <c r="D11" s="7" t="inlineStr">
        <is>
          <t>Ranking lists every candidate by how many gaps they fill, with the gaps named. It is a starting point for a conversation, not a decision.</t>
        </is>
      </c>
    </row>
    <row r="13">
      <c r="B13" s="8" t="inlineStr">
        <is>
          <t>Colour key</t>
        </is>
      </c>
    </row>
    <row r="14">
      <c r="C14" s="9" t="inlineStr">
        <is>
          <t>Yellow</t>
        </is>
      </c>
      <c r="D14" s="10" t="inlineStr">
        <is>
          <t>You type or pick here.</t>
        </is>
      </c>
    </row>
    <row r="15">
      <c r="C15" s="11" t="inlineStr">
        <is>
          <t>Grey</t>
        </is>
      </c>
      <c r="D15" s="10" t="inlineStr">
        <is>
          <t>Worked out for you. Please do not type here.</t>
        </is>
      </c>
    </row>
    <row r="16">
      <c r="C16" s="12" t="inlineStr">
        <is>
          <t>Dark</t>
        </is>
      </c>
      <c r="D16" s="10" t="inlineStr">
        <is>
          <t>Column names. Keep the pasted headers as they come from HornetForms.</t>
        </is>
      </c>
    </row>
    <row r="18">
      <c r="B18" s="8" t="inlineStr">
        <is>
          <t>Good to know</t>
        </is>
      </c>
    </row>
    <row r="19" ht="34" customHeight="1">
      <c r="C19" s="13" t="inlineStr">
        <is>
          <t>Matching looks for your skill name inside the candidate's answer. If you rename a skill, rename it the way the form says, or type an x yourself.</t>
        </is>
      </c>
    </row>
    <row r="20" ht="34" customHeight="1">
      <c r="C20" s="13" t="inlineStr">
        <is>
          <t>A skill counts as a gap when the board has fewer members with it than you want. Each gap counts once, however many members are missing.</t>
        </is>
      </c>
    </row>
    <row r="21" ht="34" customHeight="1">
      <c r="C21" s="13" t="inlineStr">
        <is>
          <t>Nothing in this file asks about or records age, health, family, religion or background. The community, conflicts of interest, LinkedIn and CV answers are not read.</t>
        </is>
      </c>
    </row>
    <row r="22" ht="28" customHeight="1">
      <c r="C22" s="13" t="inlineStr">
        <is>
          <t>A nomination row shows the nominee. The person who nominated them is not shown.</t>
        </is>
      </c>
    </row>
    <row r="23" ht="28" customHeight="1">
      <c r="C23" s="13" t="inlineStr">
        <is>
          <t>Candidates holds names, emails and phone numbers. Keep this file where only the nominating committee can open it.</t>
        </is>
      </c>
    </row>
    <row r="24" ht="28" customHeight="1">
      <c r="C24" s="13" t="inlineStr">
        <is>
          <t>There is room for 300 candidates, 25 current members and 12 skills.</t>
        </is>
      </c>
    </row>
    <row r="26">
      <c r="B26" s="8" t="inlineStr">
        <is>
          <t>Example data</t>
        </is>
      </c>
    </row>
    <row r="27" ht="32" customHeight="1">
      <c r="C27" s="14" t="inlineStr">
        <is>
          <t>Rows 2 to 11 on Candidates, the six EXAMPLE members on Current board and the Example column on Skills are made-up data. Names, emails (example.com), skills and the numbers wanted are all invented. Clear them before you add your own.</t>
        </is>
      </c>
    </row>
    <row r="29">
      <c r="C29" s="15" t="inlineStr">
        <is>
          <t>Made by HornetForms, hornetforms.com</t>
        </is>
      </c>
    </row>
  </sheetData>
  <mergeCells count="7">
    <mergeCell ref="C20:D20"/>
    <mergeCell ref="C21:D21"/>
    <mergeCell ref="C24:D24"/>
    <mergeCell ref="C27:D27"/>
    <mergeCell ref="C19:D19"/>
    <mergeCell ref="C22:D22"/>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M22"/>
  <sheetViews>
    <sheetView showGridLines="0" workbookViewId="0">
      <pane ySplit="4" topLeftCell="A5" activePane="bottomLeft" state="frozen"/>
      <selection pane="bottomLeft" activeCell="A1" sqref="A1"/>
    </sheetView>
  </sheetViews>
  <sheetFormatPr baseColWidth="8" defaultRowHeight="15"/>
  <cols>
    <col width="22" customWidth="1" min="1" max="1"/>
    <col width="34" customWidth="1" min="2" max="2"/>
    <col width="18" customWidth="1" min="3" max="3"/>
    <col width="22" customWidth="1" min="4" max="4"/>
    <col width="12" customWidth="1" min="5" max="5"/>
    <col width="14" customWidth="1" min="6" max="6"/>
    <col width="10" customWidth="1" min="7" max="7"/>
    <col width="16" customWidth="1" min="8" max="8"/>
    <col width="14" customWidth="1" min="9" max="9"/>
    <col width="14" customWidth="1" min="10" max="10"/>
    <col width="14" customWidth="1" min="11" max="11"/>
    <col width="14" customWidth="1" min="12" max="12"/>
    <col width="14" customWidth="1" min="13" max="13"/>
  </cols>
  <sheetData>
    <row r="1">
      <c r="A1" s="16" t="inlineStr">
        <is>
          <t>Skills the board needs</t>
        </is>
      </c>
    </row>
    <row r="2">
      <c r="A2" s="3">
        <f>IF(COUNTIF(Candidates!$A$2:$A$301,"EXAMPLE*")+COUNTIF('Current board'!$A$2:$A$26,"EXAMPLE*")&gt;0,"You are looking at EXAMPLE data. Clear the EXAMPLE rows on Candidates and Current board, then add your own.","")</f>
        <v/>
      </c>
    </row>
    <row r="4" ht="48" customHeight="1">
      <c r="A4" s="4" t="inlineStr">
        <is>
          <t>#</t>
        </is>
      </c>
      <c r="B4" s="17" t="inlineStr">
        <is>
          <t>Skill (type or edit)</t>
        </is>
      </c>
      <c r="C4" s="17" t="inlineStr">
        <is>
          <t>Members wanted (yours)</t>
        </is>
      </c>
      <c r="D4" s="18" t="inlineStr">
        <is>
          <t>Example (used only while EXAMPLE rows exist)</t>
        </is>
      </c>
      <c r="E4" s="18" t="inlineStr">
        <is>
          <t>In use</t>
        </is>
      </c>
      <c r="F4" s="18" t="inlineStr">
        <is>
          <t>Members who have it</t>
        </is>
      </c>
      <c r="G4" s="18" t="inlineStr">
        <is>
          <t>Gap</t>
        </is>
      </c>
      <c r="H4" s="18" t="inlineStr">
        <is>
          <t>Candidates who bring it</t>
        </is>
      </c>
    </row>
    <row r="5">
      <c r="A5" s="19" t="n">
        <v>1</v>
      </c>
      <c r="B5" s="20" t="inlineStr">
        <is>
          <t>Finance and accounting</t>
        </is>
      </c>
      <c r="C5" s="21" t="n"/>
      <c r="D5" s="22" t="n">
        <v>2</v>
      </c>
      <c r="E5" s="23">
        <f>IF(B5="","",IF(ISNUMBER(C5),C5,IF((COUNTIF(Candidates!$A$2:$A$301,"EXAMPLE*")+COUNTIF('Current board'!$A$2:$A$26,"EXAMPLE*")&gt;0),D5,1)))</f>
        <v/>
      </c>
      <c r="F5" s="23">
        <f>IF(B5="","",SUMPRODUCT(('Current board'!$A$2:$A$26&lt;&gt;"")*1,('Current board'!$B$2:$B$26&lt;&gt;"")*1))</f>
        <v/>
      </c>
      <c r="G5" s="23">
        <f>IF(B5="","",MAX(0,E5-F5))</f>
        <v/>
      </c>
      <c r="H5" s="23">
        <f>IF(B5="","",SUM(Candidates!$AX$2:$AX$301))</f>
        <v/>
      </c>
    </row>
    <row r="6">
      <c r="A6" s="19" t="n">
        <v>2</v>
      </c>
      <c r="B6" s="20" t="inlineStr">
        <is>
          <t>Legal</t>
        </is>
      </c>
      <c r="C6" s="21" t="n"/>
      <c r="D6" s="22" t="n">
        <v>1</v>
      </c>
      <c r="E6" s="23">
        <f>IF(B6="","",IF(ISNUMBER(C6),C6,IF((COUNTIF(Candidates!$A$2:$A$301,"EXAMPLE*")+COUNTIF('Current board'!$A$2:$A$26,"EXAMPLE*")&gt;0),D6,1)))</f>
        <v/>
      </c>
      <c r="F6" s="23">
        <f>IF(B6="","",SUMPRODUCT(('Current board'!$A$2:$A$26&lt;&gt;"")*1,('Current board'!$C$2:$C$26&lt;&gt;"")*1))</f>
        <v/>
      </c>
      <c r="G6" s="23">
        <f>IF(B6="","",MAX(0,E6-F6))</f>
        <v/>
      </c>
      <c r="H6" s="23">
        <f>IF(B6="","",SUM(Candidates!$AY$2:$AY$301))</f>
        <v/>
      </c>
    </row>
    <row r="7">
      <c r="A7" s="19" t="n">
        <v>3</v>
      </c>
      <c r="B7" s="20" t="inlineStr">
        <is>
          <t>Fundraising</t>
        </is>
      </c>
      <c r="C7" s="21" t="n"/>
      <c r="D7" s="22" t="n">
        <v>3</v>
      </c>
      <c r="E7" s="23">
        <f>IF(B7="","",IF(ISNUMBER(C7),C7,IF((COUNTIF(Candidates!$A$2:$A$301,"EXAMPLE*")+COUNTIF('Current board'!$A$2:$A$26,"EXAMPLE*")&gt;0),D7,1)))</f>
        <v/>
      </c>
      <c r="F7" s="23">
        <f>IF(B7="","",SUMPRODUCT(('Current board'!$A$2:$A$26&lt;&gt;"")*1,('Current board'!$D$2:$D$26&lt;&gt;"")*1))</f>
        <v/>
      </c>
      <c r="G7" s="23">
        <f>IF(B7="","",MAX(0,E7-F7))</f>
        <v/>
      </c>
      <c r="H7" s="23">
        <f>IF(B7="","",SUM(Candidates!$AZ$2:$AZ$301))</f>
        <v/>
      </c>
    </row>
    <row r="8">
      <c r="A8" s="19" t="n">
        <v>4</v>
      </c>
      <c r="B8" s="20" t="inlineStr">
        <is>
          <t>Marketing and communications</t>
        </is>
      </c>
      <c r="C8" s="21" t="n"/>
      <c r="D8" s="22" t="n">
        <v>2</v>
      </c>
      <c r="E8" s="23">
        <f>IF(B8="","",IF(ISNUMBER(C8),C8,IF((COUNTIF(Candidates!$A$2:$A$301,"EXAMPLE*")+COUNTIF('Current board'!$A$2:$A$26,"EXAMPLE*")&gt;0),D8,1)))</f>
        <v/>
      </c>
      <c r="F8" s="23">
        <f>IF(B8="","",SUMPRODUCT(('Current board'!$A$2:$A$26&lt;&gt;"")*1,('Current board'!$E$2:$E$26&lt;&gt;"")*1))</f>
        <v/>
      </c>
      <c r="G8" s="23">
        <f>IF(B8="","",MAX(0,E8-F8))</f>
        <v/>
      </c>
      <c r="H8" s="23">
        <f>IF(B8="","",SUM(Candidates!$BA$2:$BA$301))</f>
        <v/>
      </c>
    </row>
    <row r="9">
      <c r="A9" s="19" t="n">
        <v>5</v>
      </c>
      <c r="B9" s="20" t="inlineStr">
        <is>
          <t>HR and people</t>
        </is>
      </c>
      <c r="C9" s="21" t="n"/>
      <c r="D9" s="22" t="n">
        <v>2</v>
      </c>
      <c r="E9" s="23">
        <f>IF(B9="","",IF(ISNUMBER(C9),C9,IF((COUNTIF(Candidates!$A$2:$A$301,"EXAMPLE*")+COUNTIF('Current board'!$A$2:$A$26,"EXAMPLE*")&gt;0),D9,1)))</f>
        <v/>
      </c>
      <c r="F9" s="23">
        <f>IF(B9="","",SUMPRODUCT(('Current board'!$A$2:$A$26&lt;&gt;"")*1,('Current board'!$F$2:$F$26&lt;&gt;"")*1))</f>
        <v/>
      </c>
      <c r="G9" s="23">
        <f>IF(B9="","",MAX(0,E9-F9))</f>
        <v/>
      </c>
      <c r="H9" s="23">
        <f>IF(B9="","",SUM(Candidates!$BB$2:$BB$301))</f>
        <v/>
      </c>
    </row>
    <row r="10">
      <c r="A10" s="19" t="n">
        <v>6</v>
      </c>
      <c r="B10" s="20" t="inlineStr">
        <is>
          <t>Program or service expertise</t>
        </is>
      </c>
      <c r="C10" s="21" t="n"/>
      <c r="D10" s="22" t="n">
        <v>2</v>
      </c>
      <c r="E10" s="23">
        <f>IF(B10="","",IF(ISNUMBER(C10),C10,IF((COUNTIF(Candidates!$A$2:$A$301,"EXAMPLE*")+COUNTIF('Current board'!$A$2:$A$26,"EXAMPLE*")&gt;0),D10,1)))</f>
        <v/>
      </c>
      <c r="F10" s="23">
        <f>IF(B10="","",SUMPRODUCT(('Current board'!$A$2:$A$26&lt;&gt;"")*1,('Current board'!$G$2:$G$26&lt;&gt;"")*1))</f>
        <v/>
      </c>
      <c r="G10" s="23">
        <f>IF(B10="","",MAX(0,E10-F10))</f>
        <v/>
      </c>
      <c r="H10" s="23">
        <f>IF(B10="","",SUM(Candidates!$BC$2:$BC$301))</f>
        <v/>
      </c>
    </row>
    <row r="11">
      <c r="A11" s="19" t="n">
        <v>7</v>
      </c>
      <c r="B11" s="20" t="inlineStr">
        <is>
          <t>Technology</t>
        </is>
      </c>
      <c r="C11" s="21" t="n"/>
      <c r="D11" s="22" t="n">
        <v>1</v>
      </c>
      <c r="E11" s="23">
        <f>IF(B11="","",IF(ISNUMBER(C11),C11,IF((COUNTIF(Candidates!$A$2:$A$301,"EXAMPLE*")+COUNTIF('Current board'!$A$2:$A$26,"EXAMPLE*")&gt;0),D11,1)))</f>
        <v/>
      </c>
      <c r="F11" s="23">
        <f>IF(B11="","",SUMPRODUCT(('Current board'!$A$2:$A$26&lt;&gt;"")*1,('Current board'!$H$2:$H$26&lt;&gt;"")*1))</f>
        <v/>
      </c>
      <c r="G11" s="23">
        <f>IF(B11="","",MAX(0,E11-F11))</f>
        <v/>
      </c>
      <c r="H11" s="23">
        <f>IF(B11="","",SUM(Candidates!$BD$2:$BD$301))</f>
        <v/>
      </c>
    </row>
    <row r="12">
      <c r="A12" s="19" t="n">
        <v>8</v>
      </c>
      <c r="B12" s="20" t="inlineStr">
        <is>
          <t>Strategy and governance</t>
        </is>
      </c>
      <c r="C12" s="21" t="n"/>
      <c r="D12" s="22" t="n">
        <v>2</v>
      </c>
      <c r="E12" s="23">
        <f>IF(B12="","",IF(ISNUMBER(C12),C12,IF((COUNTIF(Candidates!$A$2:$A$301,"EXAMPLE*")+COUNTIF('Current board'!$A$2:$A$26,"EXAMPLE*")&gt;0),D12,1)))</f>
        <v/>
      </c>
      <c r="F12" s="23">
        <f>IF(B12="","",SUMPRODUCT(('Current board'!$A$2:$A$26&lt;&gt;"")*1,('Current board'!$I$2:$I$26&lt;&gt;"")*1))</f>
        <v/>
      </c>
      <c r="G12" s="23">
        <f>IF(B12="","",MAX(0,E12-F12))</f>
        <v/>
      </c>
      <c r="H12" s="23">
        <f>IF(B12="","",SUM(Candidates!$BE$2:$BE$301))</f>
        <v/>
      </c>
    </row>
    <row r="13">
      <c r="A13" s="19" t="n">
        <v>9</v>
      </c>
      <c r="B13" s="20" t="n"/>
      <c r="C13" s="21" t="n"/>
      <c r="D13" s="22" t="n"/>
      <c r="E13" s="23">
        <f>IF(B13="","",IF(ISNUMBER(C13),C13,IF((COUNTIF(Candidates!$A$2:$A$301,"EXAMPLE*")+COUNTIF('Current board'!$A$2:$A$26,"EXAMPLE*")&gt;0),D13,1)))</f>
        <v/>
      </c>
      <c r="F13" s="23">
        <f>IF(B13="","",SUMPRODUCT(('Current board'!$A$2:$A$26&lt;&gt;"")*1,('Current board'!$J$2:$J$26&lt;&gt;"")*1))</f>
        <v/>
      </c>
      <c r="G13" s="23">
        <f>IF(B13="","",MAX(0,E13-F13))</f>
        <v/>
      </c>
      <c r="H13" s="23">
        <f>IF(B13="","",SUM(Candidates!$BF$2:$BF$301))</f>
        <v/>
      </c>
    </row>
    <row r="14">
      <c r="A14" s="19" t="n">
        <v>10</v>
      </c>
      <c r="B14" s="20" t="n"/>
      <c r="C14" s="21" t="n"/>
      <c r="D14" s="22" t="n"/>
      <c r="E14" s="23">
        <f>IF(B14="","",IF(ISNUMBER(C14),C14,IF((COUNTIF(Candidates!$A$2:$A$301,"EXAMPLE*")+COUNTIF('Current board'!$A$2:$A$26,"EXAMPLE*")&gt;0),D14,1)))</f>
        <v/>
      </c>
      <c r="F14" s="23">
        <f>IF(B14="","",SUMPRODUCT(('Current board'!$A$2:$A$26&lt;&gt;"")*1,('Current board'!$K$2:$K$26&lt;&gt;"")*1))</f>
        <v/>
      </c>
      <c r="G14" s="23">
        <f>IF(B14="","",MAX(0,E14-F14))</f>
        <v/>
      </c>
      <c r="H14" s="23">
        <f>IF(B14="","",SUM(Candidates!$BG$2:$BG$301))</f>
        <v/>
      </c>
    </row>
    <row r="15">
      <c r="A15" s="19" t="n">
        <v>11</v>
      </c>
      <c r="B15" s="20" t="n"/>
      <c r="C15" s="21" t="n"/>
      <c r="D15" s="22" t="n"/>
      <c r="E15" s="23">
        <f>IF(B15="","",IF(ISNUMBER(C15),C15,IF((COUNTIF(Candidates!$A$2:$A$301,"EXAMPLE*")+COUNTIF('Current board'!$A$2:$A$26,"EXAMPLE*")&gt;0),D15,1)))</f>
        <v/>
      </c>
      <c r="F15" s="23">
        <f>IF(B15="","",SUMPRODUCT(('Current board'!$A$2:$A$26&lt;&gt;"")*1,('Current board'!$L$2:$L$26&lt;&gt;"")*1))</f>
        <v/>
      </c>
      <c r="G15" s="23">
        <f>IF(B15="","",MAX(0,E15-F15))</f>
        <v/>
      </c>
      <c r="H15" s="23">
        <f>IF(B15="","",SUM(Candidates!$BH$2:$BH$301))</f>
        <v/>
      </c>
    </row>
    <row r="16">
      <c r="A16" s="19" t="n">
        <v>12</v>
      </c>
      <c r="B16" s="20" t="n"/>
      <c r="C16" s="21" t="n"/>
      <c r="D16" s="22" t="n"/>
      <c r="E16" s="23">
        <f>IF(B16="","",IF(ISNUMBER(C16),C16,IF((COUNTIF(Candidates!$A$2:$A$301,"EXAMPLE*")+COUNTIF('Current board'!$A$2:$A$26,"EXAMPLE*")&gt;0),D16,1)))</f>
        <v/>
      </c>
      <c r="F16" s="23">
        <f>IF(B16="","",SUMPRODUCT(('Current board'!$A$2:$A$26&lt;&gt;"")*1,('Current board'!$M$2:$M$26&lt;&gt;"")*1))</f>
        <v/>
      </c>
      <c r="G16" s="23">
        <f>IF(B16="","",MAX(0,E16-F16))</f>
        <v/>
      </c>
      <c r="H16" s="23">
        <f>IF(B16="","",SUM(Candidates!$BI$2:$BI$301))</f>
        <v/>
      </c>
    </row>
    <row r="18">
      <c r="A18" s="24" t="inlineStr">
        <is>
          <t>Skills with a gap</t>
        </is>
      </c>
      <c r="C18" s="25">
        <f>COUNTIF(G5:G16,"&gt;0")</f>
        <v/>
      </c>
    </row>
    <row r="19" ht="40" customHeight="1">
      <c r="B19" s="26">
        <f>IF($B5="","",$B5)</f>
        <v/>
      </c>
      <c r="C19" s="26">
        <f>IF($B6="","",$B6)</f>
        <v/>
      </c>
      <c r="D19" s="26">
        <f>IF($B7="","",$B7)</f>
        <v/>
      </c>
      <c r="E19" s="26">
        <f>IF($B8="","",$B8)</f>
        <v/>
      </c>
      <c r="F19" s="26">
        <f>IF($B9="","",$B9)</f>
        <v/>
      </c>
      <c r="G19" s="26">
        <f>IF($B10="","",$B10)</f>
        <v/>
      </c>
      <c r="H19" s="26">
        <f>IF($B11="","",$B11)</f>
        <v/>
      </c>
      <c r="I19" s="26">
        <f>IF($B12="","",$B12)</f>
        <v/>
      </c>
      <c r="J19" s="26">
        <f>IF($B13="","",$B13)</f>
        <v/>
      </c>
      <c r="K19" s="26">
        <f>IF($B14="","",$B14)</f>
        <v/>
      </c>
      <c r="L19" s="26">
        <f>IF($B15="","",$B15)</f>
        <v/>
      </c>
      <c r="M19" s="26">
        <f>IF($B16="","",$B16)</f>
        <v/>
      </c>
    </row>
    <row r="20">
      <c r="A20" s="15" t="inlineStr">
        <is>
          <t>Gap flags (helper): 1 = this skill has a gap</t>
        </is>
      </c>
      <c r="B20" s="23">
        <f>IF(AND(ISNUMBER($G5),$G5&gt;0),1,0)</f>
        <v/>
      </c>
      <c r="C20" s="23">
        <f>IF(AND(ISNUMBER($G6),$G6&gt;0),1,0)</f>
        <v/>
      </c>
      <c r="D20" s="23">
        <f>IF(AND(ISNUMBER($G7),$G7&gt;0),1,0)</f>
        <v/>
      </c>
      <c r="E20" s="23">
        <f>IF(AND(ISNUMBER($G8),$G8&gt;0),1,0)</f>
        <v/>
      </c>
      <c r="F20" s="23">
        <f>IF(AND(ISNUMBER($G9),$G9&gt;0),1,0)</f>
        <v/>
      </c>
      <c r="G20" s="23">
        <f>IF(AND(ISNUMBER($G10),$G10&gt;0),1,0)</f>
        <v/>
      </c>
      <c r="H20" s="23">
        <f>IF(AND(ISNUMBER($G11),$G11&gt;0),1,0)</f>
        <v/>
      </c>
      <c r="I20" s="23">
        <f>IF(AND(ISNUMBER($G12),$G12&gt;0),1,0)</f>
        <v/>
      </c>
      <c r="J20" s="23">
        <f>IF(AND(ISNUMBER($G13),$G13&gt;0),1,0)</f>
        <v/>
      </c>
      <c r="K20" s="23">
        <f>IF(AND(ISNUMBER($G14),$G14&gt;0),1,0)</f>
        <v/>
      </c>
      <c r="L20" s="23">
        <f>IF(AND(ISNUMBER($G15),$G15&gt;0),1,0)</f>
        <v/>
      </c>
      <c r="M20" s="23">
        <f>IF(AND(ISNUMBER($G16),$G16&gt;0),1,0)</f>
        <v/>
      </c>
    </row>
    <row r="22">
      <c r="A22" s="15" t="inlineStr">
        <is>
          <t>Made by HornetForms, hornetforms.com</t>
        </is>
      </c>
    </row>
  </sheetData>
  <conditionalFormatting sqref="A5:H16">
    <cfRule type="expression" priority="1" dxfId="0">
      <formula>AND(ISNUMBER($G5),$G5&gt;0)</formula>
    </cfRule>
  </conditionalFormatting>
  <dataValidations count="1">
    <dataValidation sqref="C5:C16" showDropDown="0" showInputMessage="1" showErrorMessage="1" allowBlank="1" errorTitle="Members wanted" error="Type a whole number from 0 to 25." promptTitle="Members wanted" prompt="Type how many members you want with this skill." type="whole" errorStyle="warning" operator="between">
      <formula1>0</formula1>
      <formula2>25</formula2>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F5B83D"/>
    <outlinePr summaryBelow="1" summaryRight="1"/>
    <pageSetUpPr/>
  </sheetPr>
  <dimension ref="A1:N2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ht="48" customHeight="1">
      <c r="A1" s="17" t="inlineStr">
        <is>
          <t>Member (type a name)</t>
        </is>
      </c>
      <c r="B1" s="18">
        <f>IF(Skills!$B$5="","Skill 1",Skills!$B$5)</f>
        <v/>
      </c>
      <c r="C1" s="18">
        <f>IF(Skills!$B$6="","Skill 2",Skills!$B$6)</f>
        <v/>
      </c>
      <c r="D1" s="18">
        <f>IF(Skills!$B$7="","Skill 3",Skills!$B$7)</f>
        <v/>
      </c>
      <c r="E1" s="18">
        <f>IF(Skills!$B$8="","Skill 4",Skills!$B$8)</f>
        <v/>
      </c>
      <c r="F1" s="18">
        <f>IF(Skills!$B$9="","Skill 5",Skills!$B$9)</f>
        <v/>
      </c>
      <c r="G1" s="18">
        <f>IF(Skills!$B$10="","Skill 6",Skills!$B$10)</f>
        <v/>
      </c>
      <c r="H1" s="18">
        <f>IF(Skills!$B$11="","Skill 7",Skills!$B$11)</f>
        <v/>
      </c>
      <c r="I1" s="18">
        <f>IF(Skills!$B$12="","Skill 8",Skills!$B$12)</f>
        <v/>
      </c>
      <c r="J1" s="18">
        <f>IF(Skills!$B$13="","Skill 9",Skills!$B$13)</f>
        <v/>
      </c>
      <c r="K1" s="18">
        <f>IF(Skills!$B$14="","Skill 10",Skills!$B$14)</f>
        <v/>
      </c>
      <c r="L1" s="18">
        <f>IF(Skills!$B$15="","Skill 11",Skills!$B$15)</f>
        <v/>
      </c>
      <c r="M1" s="18">
        <f>IF(Skills!$B$16="","Skill 12",Skills!$B$16)</f>
        <v/>
      </c>
      <c r="N1" s="18" t="inlineStr">
        <is>
          <t>Skills held</t>
        </is>
      </c>
    </row>
    <row r="2">
      <c r="A2" s="27" t="inlineStr">
        <is>
          <t>EXAMPLE: Member A</t>
        </is>
      </c>
      <c r="B2" s="28" t="inlineStr">
        <is>
          <t>x</t>
        </is>
      </c>
      <c r="C2" s="21" t="n"/>
      <c r="D2" s="21" t="n"/>
      <c r="E2" s="21" t="n"/>
      <c r="F2" s="21" t="n"/>
      <c r="G2" s="21" t="n"/>
      <c r="H2" s="21" t="n"/>
      <c r="I2" s="28" t="inlineStr">
        <is>
          <t>x</t>
        </is>
      </c>
      <c r="J2" s="21" t="n"/>
      <c r="K2" s="21" t="n"/>
      <c r="L2" s="21" t="n"/>
      <c r="M2" s="21" t="n"/>
      <c r="N2" s="23">
        <f>IF(A2="","",SUMPRODUCT((B2:M2&lt;&gt;"")*1))</f>
        <v/>
      </c>
    </row>
    <row r="3">
      <c r="A3" s="27" t="inlineStr">
        <is>
          <t>EXAMPLE: Member B</t>
        </is>
      </c>
      <c r="B3" s="21" t="n"/>
      <c r="C3" s="21" t="n"/>
      <c r="D3" s="28" t="inlineStr">
        <is>
          <t>x</t>
        </is>
      </c>
      <c r="E3" s="28" t="inlineStr">
        <is>
          <t>x</t>
        </is>
      </c>
      <c r="F3" s="21" t="n"/>
      <c r="G3" s="21" t="n"/>
      <c r="H3" s="21" t="n"/>
      <c r="I3" s="21" t="n"/>
      <c r="J3" s="21" t="n"/>
      <c r="K3" s="21" t="n"/>
      <c r="L3" s="21" t="n"/>
      <c r="M3" s="21" t="n"/>
      <c r="N3" s="23">
        <f>IF(A3="","",SUMPRODUCT((B3:M3&lt;&gt;"")*1))</f>
        <v/>
      </c>
    </row>
    <row r="4">
      <c r="A4" s="27" t="inlineStr">
        <is>
          <t>EXAMPLE: Member C</t>
        </is>
      </c>
      <c r="B4" s="21" t="n"/>
      <c r="C4" s="21" t="n"/>
      <c r="D4" s="21" t="n"/>
      <c r="E4" s="21" t="n"/>
      <c r="F4" s="21" t="n"/>
      <c r="G4" s="28" t="inlineStr">
        <is>
          <t>x</t>
        </is>
      </c>
      <c r="H4" s="21" t="n"/>
      <c r="I4" s="28" t="inlineStr">
        <is>
          <t>x</t>
        </is>
      </c>
      <c r="J4" s="21" t="n"/>
      <c r="K4" s="21" t="n"/>
      <c r="L4" s="21" t="n"/>
      <c r="M4" s="21" t="n"/>
      <c r="N4" s="23">
        <f>IF(A4="","",SUMPRODUCT((B4:M4&lt;&gt;"")*1))</f>
        <v/>
      </c>
    </row>
    <row r="5">
      <c r="A5" s="27" t="inlineStr">
        <is>
          <t>EXAMPLE: Member D</t>
        </is>
      </c>
      <c r="B5" s="28" t="inlineStr">
        <is>
          <t>x</t>
        </is>
      </c>
      <c r="C5" s="21" t="n"/>
      <c r="D5" s="21" t="n"/>
      <c r="E5" s="21" t="n"/>
      <c r="F5" s="21" t="n"/>
      <c r="G5" s="21" t="n"/>
      <c r="H5" s="21" t="n"/>
      <c r="I5" s="21" t="n"/>
      <c r="J5" s="21" t="n"/>
      <c r="K5" s="21" t="n"/>
      <c r="L5" s="21" t="n"/>
      <c r="M5" s="21" t="n"/>
      <c r="N5" s="23">
        <f>IF(A5="","",SUMPRODUCT((B5:M5&lt;&gt;"")*1))</f>
        <v/>
      </c>
    </row>
    <row r="6">
      <c r="A6" s="27" t="inlineStr">
        <is>
          <t>EXAMPLE: Member E</t>
        </is>
      </c>
      <c r="B6" s="21" t="n"/>
      <c r="C6" s="21" t="n"/>
      <c r="D6" s="28" t="inlineStr">
        <is>
          <t>x</t>
        </is>
      </c>
      <c r="E6" s="21" t="n"/>
      <c r="F6" s="21" t="n"/>
      <c r="G6" s="21" t="n"/>
      <c r="H6" s="21" t="n"/>
      <c r="I6" s="21" t="n"/>
      <c r="J6" s="21" t="n"/>
      <c r="K6" s="21" t="n"/>
      <c r="L6" s="21" t="n"/>
      <c r="M6" s="21" t="n"/>
      <c r="N6" s="23">
        <f>IF(A6="","",SUMPRODUCT((B6:M6&lt;&gt;"")*1))</f>
        <v/>
      </c>
    </row>
    <row r="7">
      <c r="A7" s="27" t="inlineStr">
        <is>
          <t>EXAMPLE: Member F</t>
        </is>
      </c>
      <c r="B7" s="21" t="n"/>
      <c r="C7" s="21" t="n"/>
      <c r="D7" s="21" t="n"/>
      <c r="E7" s="21" t="n"/>
      <c r="F7" s="28" t="inlineStr">
        <is>
          <t>x</t>
        </is>
      </c>
      <c r="G7" s="28" t="inlineStr">
        <is>
          <t>x</t>
        </is>
      </c>
      <c r="H7" s="21" t="n"/>
      <c r="I7" s="21" t="n"/>
      <c r="J7" s="21" t="n"/>
      <c r="K7" s="21" t="n"/>
      <c r="L7" s="21" t="n"/>
      <c r="M7" s="21" t="n"/>
      <c r="N7" s="23">
        <f>IF(A7="","",SUMPRODUCT((B7:M7&lt;&gt;"")*1))</f>
        <v/>
      </c>
    </row>
    <row r="8">
      <c r="A8" s="20" t="n"/>
      <c r="B8" s="21" t="n"/>
      <c r="C8" s="21" t="n"/>
      <c r="D8" s="21" t="n"/>
      <c r="E8" s="21" t="n"/>
      <c r="F8" s="21" t="n"/>
      <c r="G8" s="21" t="n"/>
      <c r="H8" s="21" t="n"/>
      <c r="I8" s="21" t="n"/>
      <c r="J8" s="21" t="n"/>
      <c r="K8" s="21" t="n"/>
      <c r="L8" s="21" t="n"/>
      <c r="M8" s="21" t="n"/>
      <c r="N8" s="23">
        <f>IF(A8="","",SUMPRODUCT((B8:M8&lt;&gt;"")*1))</f>
        <v/>
      </c>
    </row>
    <row r="9">
      <c r="A9" s="20" t="n"/>
      <c r="B9" s="21" t="n"/>
      <c r="C9" s="21" t="n"/>
      <c r="D9" s="21" t="n"/>
      <c r="E9" s="21" t="n"/>
      <c r="F9" s="21" t="n"/>
      <c r="G9" s="21" t="n"/>
      <c r="H9" s="21" t="n"/>
      <c r="I9" s="21" t="n"/>
      <c r="J9" s="21" t="n"/>
      <c r="K9" s="21" t="n"/>
      <c r="L9" s="21" t="n"/>
      <c r="M9" s="21" t="n"/>
      <c r="N9" s="23">
        <f>IF(A9="","",SUMPRODUCT((B9:M9&lt;&gt;"")*1))</f>
        <v/>
      </c>
    </row>
    <row r="10">
      <c r="A10" s="20" t="n"/>
      <c r="B10" s="21" t="n"/>
      <c r="C10" s="21" t="n"/>
      <c r="D10" s="21" t="n"/>
      <c r="E10" s="21" t="n"/>
      <c r="F10" s="21" t="n"/>
      <c r="G10" s="21" t="n"/>
      <c r="H10" s="21" t="n"/>
      <c r="I10" s="21" t="n"/>
      <c r="J10" s="21" t="n"/>
      <c r="K10" s="21" t="n"/>
      <c r="L10" s="21" t="n"/>
      <c r="M10" s="21" t="n"/>
      <c r="N10" s="23">
        <f>IF(A10="","",SUMPRODUCT((B10:M10&lt;&gt;"")*1))</f>
        <v/>
      </c>
    </row>
    <row r="11">
      <c r="A11" s="20" t="n"/>
      <c r="B11" s="21" t="n"/>
      <c r="C11" s="21" t="n"/>
      <c r="D11" s="21" t="n"/>
      <c r="E11" s="21" t="n"/>
      <c r="F11" s="21" t="n"/>
      <c r="G11" s="21" t="n"/>
      <c r="H11" s="21" t="n"/>
      <c r="I11" s="21" t="n"/>
      <c r="J11" s="21" t="n"/>
      <c r="K11" s="21" t="n"/>
      <c r="L11" s="21" t="n"/>
      <c r="M11" s="21" t="n"/>
      <c r="N11" s="23">
        <f>IF(A11="","",SUMPRODUCT((B11:M11&lt;&gt;"")*1))</f>
        <v/>
      </c>
    </row>
    <row r="12">
      <c r="A12" s="20" t="n"/>
      <c r="B12" s="21" t="n"/>
      <c r="C12" s="21" t="n"/>
      <c r="D12" s="21" t="n"/>
      <c r="E12" s="21" t="n"/>
      <c r="F12" s="21" t="n"/>
      <c r="G12" s="21" t="n"/>
      <c r="H12" s="21" t="n"/>
      <c r="I12" s="21" t="n"/>
      <c r="J12" s="21" t="n"/>
      <c r="K12" s="21" t="n"/>
      <c r="L12" s="21" t="n"/>
      <c r="M12" s="21" t="n"/>
      <c r="N12" s="23">
        <f>IF(A12="","",SUMPRODUCT((B12:M12&lt;&gt;"")*1))</f>
        <v/>
      </c>
    </row>
    <row r="13">
      <c r="A13" s="20" t="n"/>
      <c r="B13" s="21" t="n"/>
      <c r="C13" s="21" t="n"/>
      <c r="D13" s="21" t="n"/>
      <c r="E13" s="21" t="n"/>
      <c r="F13" s="21" t="n"/>
      <c r="G13" s="21" t="n"/>
      <c r="H13" s="21" t="n"/>
      <c r="I13" s="21" t="n"/>
      <c r="J13" s="21" t="n"/>
      <c r="K13" s="21" t="n"/>
      <c r="L13" s="21" t="n"/>
      <c r="M13" s="21" t="n"/>
      <c r="N13" s="23">
        <f>IF(A13="","",SUMPRODUCT((B13:M13&lt;&gt;"")*1))</f>
        <v/>
      </c>
    </row>
    <row r="14">
      <c r="A14" s="20" t="n"/>
      <c r="B14" s="21" t="n"/>
      <c r="C14" s="21" t="n"/>
      <c r="D14" s="21" t="n"/>
      <c r="E14" s="21" t="n"/>
      <c r="F14" s="21" t="n"/>
      <c r="G14" s="21" t="n"/>
      <c r="H14" s="21" t="n"/>
      <c r="I14" s="21" t="n"/>
      <c r="J14" s="21" t="n"/>
      <c r="K14" s="21" t="n"/>
      <c r="L14" s="21" t="n"/>
      <c r="M14" s="21" t="n"/>
      <c r="N14" s="23">
        <f>IF(A14="","",SUMPRODUCT((B14:M14&lt;&gt;"")*1))</f>
        <v/>
      </c>
    </row>
    <row r="15">
      <c r="A15" s="20" t="n"/>
      <c r="B15" s="21" t="n"/>
      <c r="C15" s="21" t="n"/>
      <c r="D15" s="21" t="n"/>
      <c r="E15" s="21" t="n"/>
      <c r="F15" s="21" t="n"/>
      <c r="G15" s="21" t="n"/>
      <c r="H15" s="21" t="n"/>
      <c r="I15" s="21" t="n"/>
      <c r="J15" s="21" t="n"/>
      <c r="K15" s="21" t="n"/>
      <c r="L15" s="21" t="n"/>
      <c r="M15" s="21" t="n"/>
      <c r="N15" s="23">
        <f>IF(A15="","",SUMPRODUCT((B15:M15&lt;&gt;"")*1))</f>
        <v/>
      </c>
    </row>
    <row r="16">
      <c r="A16" s="20" t="n"/>
      <c r="B16" s="21" t="n"/>
      <c r="C16" s="21" t="n"/>
      <c r="D16" s="21" t="n"/>
      <c r="E16" s="21" t="n"/>
      <c r="F16" s="21" t="n"/>
      <c r="G16" s="21" t="n"/>
      <c r="H16" s="21" t="n"/>
      <c r="I16" s="21" t="n"/>
      <c r="J16" s="21" t="n"/>
      <c r="K16" s="21" t="n"/>
      <c r="L16" s="21" t="n"/>
      <c r="M16" s="21" t="n"/>
      <c r="N16" s="23">
        <f>IF(A16="","",SUMPRODUCT((B16:M16&lt;&gt;"")*1))</f>
        <v/>
      </c>
    </row>
    <row r="17">
      <c r="A17" s="20" t="n"/>
      <c r="B17" s="21" t="n"/>
      <c r="C17" s="21" t="n"/>
      <c r="D17" s="21" t="n"/>
      <c r="E17" s="21" t="n"/>
      <c r="F17" s="21" t="n"/>
      <c r="G17" s="21" t="n"/>
      <c r="H17" s="21" t="n"/>
      <c r="I17" s="21" t="n"/>
      <c r="J17" s="21" t="n"/>
      <c r="K17" s="21" t="n"/>
      <c r="L17" s="21" t="n"/>
      <c r="M17" s="21" t="n"/>
      <c r="N17" s="23">
        <f>IF(A17="","",SUMPRODUCT((B17:M17&lt;&gt;"")*1))</f>
        <v/>
      </c>
    </row>
    <row r="18">
      <c r="A18" s="20" t="n"/>
      <c r="B18" s="21" t="n"/>
      <c r="C18" s="21" t="n"/>
      <c r="D18" s="21" t="n"/>
      <c r="E18" s="21" t="n"/>
      <c r="F18" s="21" t="n"/>
      <c r="G18" s="21" t="n"/>
      <c r="H18" s="21" t="n"/>
      <c r="I18" s="21" t="n"/>
      <c r="J18" s="21" t="n"/>
      <c r="K18" s="21" t="n"/>
      <c r="L18" s="21" t="n"/>
      <c r="M18" s="21" t="n"/>
      <c r="N18" s="23">
        <f>IF(A18="","",SUMPRODUCT((B18:M18&lt;&gt;"")*1))</f>
        <v/>
      </c>
    </row>
    <row r="19">
      <c r="A19" s="20" t="n"/>
      <c r="B19" s="21" t="n"/>
      <c r="C19" s="21" t="n"/>
      <c r="D19" s="21" t="n"/>
      <c r="E19" s="21" t="n"/>
      <c r="F19" s="21" t="n"/>
      <c r="G19" s="21" t="n"/>
      <c r="H19" s="21" t="n"/>
      <c r="I19" s="21" t="n"/>
      <c r="J19" s="21" t="n"/>
      <c r="K19" s="21" t="n"/>
      <c r="L19" s="21" t="n"/>
      <c r="M19" s="21" t="n"/>
      <c r="N19" s="23">
        <f>IF(A19="","",SUMPRODUCT((B19:M19&lt;&gt;"")*1))</f>
        <v/>
      </c>
    </row>
    <row r="20">
      <c r="A20" s="20" t="n"/>
      <c r="B20" s="21" t="n"/>
      <c r="C20" s="21" t="n"/>
      <c r="D20" s="21" t="n"/>
      <c r="E20" s="21" t="n"/>
      <c r="F20" s="21" t="n"/>
      <c r="G20" s="21" t="n"/>
      <c r="H20" s="21" t="n"/>
      <c r="I20" s="21" t="n"/>
      <c r="J20" s="21" t="n"/>
      <c r="K20" s="21" t="n"/>
      <c r="L20" s="21" t="n"/>
      <c r="M20" s="21" t="n"/>
      <c r="N20" s="23">
        <f>IF(A20="","",SUMPRODUCT((B20:M20&lt;&gt;"")*1))</f>
        <v/>
      </c>
    </row>
    <row r="21">
      <c r="A21" s="20" t="n"/>
      <c r="B21" s="21" t="n"/>
      <c r="C21" s="21" t="n"/>
      <c r="D21" s="21" t="n"/>
      <c r="E21" s="21" t="n"/>
      <c r="F21" s="21" t="n"/>
      <c r="G21" s="21" t="n"/>
      <c r="H21" s="21" t="n"/>
      <c r="I21" s="21" t="n"/>
      <c r="J21" s="21" t="n"/>
      <c r="K21" s="21" t="n"/>
      <c r="L21" s="21" t="n"/>
      <c r="M21" s="21" t="n"/>
      <c r="N21" s="23">
        <f>IF(A21="","",SUMPRODUCT((B21:M21&lt;&gt;"")*1))</f>
        <v/>
      </c>
    </row>
    <row r="22">
      <c r="A22" s="20" t="n"/>
      <c r="B22" s="21" t="n"/>
      <c r="C22" s="21" t="n"/>
      <c r="D22" s="21" t="n"/>
      <c r="E22" s="21" t="n"/>
      <c r="F22" s="21" t="n"/>
      <c r="G22" s="21" t="n"/>
      <c r="H22" s="21" t="n"/>
      <c r="I22" s="21" t="n"/>
      <c r="J22" s="21" t="n"/>
      <c r="K22" s="21" t="n"/>
      <c r="L22" s="21" t="n"/>
      <c r="M22" s="21" t="n"/>
      <c r="N22" s="23">
        <f>IF(A22="","",SUMPRODUCT((B22:M22&lt;&gt;"")*1))</f>
        <v/>
      </c>
    </row>
    <row r="23">
      <c r="A23" s="20" t="n"/>
      <c r="B23" s="21" t="n"/>
      <c r="C23" s="21" t="n"/>
      <c r="D23" s="21" t="n"/>
      <c r="E23" s="21" t="n"/>
      <c r="F23" s="21" t="n"/>
      <c r="G23" s="21" t="n"/>
      <c r="H23" s="21" t="n"/>
      <c r="I23" s="21" t="n"/>
      <c r="J23" s="21" t="n"/>
      <c r="K23" s="21" t="n"/>
      <c r="L23" s="21" t="n"/>
      <c r="M23" s="21" t="n"/>
      <c r="N23" s="23">
        <f>IF(A23="","",SUMPRODUCT((B23:M23&lt;&gt;"")*1))</f>
        <v/>
      </c>
    </row>
    <row r="24">
      <c r="A24" s="20" t="n"/>
      <c r="B24" s="21" t="n"/>
      <c r="C24" s="21" t="n"/>
      <c r="D24" s="21" t="n"/>
      <c r="E24" s="21" t="n"/>
      <c r="F24" s="21" t="n"/>
      <c r="G24" s="21" t="n"/>
      <c r="H24" s="21" t="n"/>
      <c r="I24" s="21" t="n"/>
      <c r="J24" s="21" t="n"/>
      <c r="K24" s="21" t="n"/>
      <c r="L24" s="21" t="n"/>
      <c r="M24" s="21" t="n"/>
      <c r="N24" s="23">
        <f>IF(A24="","",SUMPRODUCT((B24:M24&lt;&gt;"")*1))</f>
        <v/>
      </c>
    </row>
    <row r="25">
      <c r="A25" s="20" t="n"/>
      <c r="B25" s="21" t="n"/>
      <c r="C25" s="21" t="n"/>
      <c r="D25" s="21" t="n"/>
      <c r="E25" s="21" t="n"/>
      <c r="F25" s="21" t="n"/>
      <c r="G25" s="21" t="n"/>
      <c r="H25" s="21" t="n"/>
      <c r="I25" s="21" t="n"/>
      <c r="J25" s="21" t="n"/>
      <c r="K25" s="21" t="n"/>
      <c r="L25" s="21" t="n"/>
      <c r="M25" s="21" t="n"/>
      <c r="N25" s="23">
        <f>IF(A25="","",SUMPRODUCT((B25:M25&lt;&gt;"")*1))</f>
        <v/>
      </c>
    </row>
    <row r="26">
      <c r="A26" s="20" t="n"/>
      <c r="B26" s="21" t="n"/>
      <c r="C26" s="21" t="n"/>
      <c r="D26" s="21" t="n"/>
      <c r="E26" s="21" t="n"/>
      <c r="F26" s="21" t="n"/>
      <c r="G26" s="21" t="n"/>
      <c r="H26" s="21" t="n"/>
      <c r="I26" s="21" t="n"/>
      <c r="J26" s="21" t="n"/>
      <c r="K26" s="21" t="n"/>
      <c r="L26" s="21" t="n"/>
      <c r="M26" s="21" t="n"/>
      <c r="N26" s="23">
        <f>IF(A26="","",SUMPRODUCT((B26:M26&lt;&gt;"")*1))</f>
        <v/>
      </c>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F5B83D"/>
    <outlinePr summaryBelow="1" summaryRight="1"/>
    <pageSetUpPr/>
  </sheetPr>
  <dimension ref="A1:BL3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width="22" customWidth="1" min="22" max="22"/>
    <col width="22" customWidth="1" min="23" max="23"/>
    <col width="22" customWidth="1" min="24" max="24"/>
    <col width="22" customWidth="1" min="25" max="25"/>
    <col width="22" customWidth="1" min="26" max="26"/>
    <col width="22" customWidth="1" min="27" max="27"/>
    <col width="22" customWidth="1" min="28" max="28"/>
    <col width="2" customWidth="1" min="29" max="29"/>
    <col width="20" customWidth="1" min="30" max="30"/>
    <col width="16" customWidth="1" min="31" max="31"/>
    <col width="16" customWidth="1" min="32" max="32"/>
    <col width="16" customWidth="1" min="33" max="33"/>
    <col width="16" customWidth="1" min="34" max="34"/>
    <col width="16" customWidth="1" min="35" max="35"/>
    <col width="16" customWidth="1" min="36" max="36"/>
    <col width="16" customWidth="1" min="37" max="37"/>
    <col width="16" customWidth="1" min="38" max="38"/>
    <col width="16" customWidth="1" min="39" max="39"/>
    <col width="16" customWidth="1" min="40" max="40"/>
    <col width="16" customWidth="1" min="41" max="41"/>
    <col width="16" customWidth="1" min="42" max="42"/>
    <col width="2" customWidth="1" min="43" max="43"/>
    <col width="24" customWidth="1" min="44" max="44"/>
    <col width="16" customWidth="1" min="45" max="45"/>
    <col width="26" customWidth="1" min="46" max="46"/>
    <col width="40" customWidth="1" min="47" max="47"/>
    <col width="14" customWidth="1" min="48" max="48"/>
    <col width="30" customWidth="1" min="49" max="49"/>
    <col width="16" customWidth="1" min="50" max="50"/>
    <col width="16" customWidth="1" min="51" max="51"/>
    <col width="16" customWidth="1" min="52" max="52"/>
    <col width="16" customWidth="1" min="53" max="53"/>
    <col width="16" customWidth="1" min="54" max="54"/>
    <col width="16" customWidth="1" min="55" max="55"/>
    <col width="16" customWidth="1" min="56" max="56"/>
    <col width="16" customWidth="1" min="57" max="57"/>
    <col width="16" customWidth="1" min="58" max="58"/>
    <col width="16" customWidth="1" min="59" max="59"/>
    <col width="16" customWidth="1" min="60" max="60"/>
    <col width="16" customWidth="1" min="61" max="61"/>
    <col width="12" customWidth="1" min="62" max="62"/>
    <col width="12" customWidth="1" min="63" max="63"/>
    <col width="50" customWidth="1" min="64" max="64"/>
  </cols>
  <sheetData>
    <row r="1" ht="62" customHeight="1">
      <c r="A1" s="4" t="inlineStr">
        <is>
          <t>Response ID</t>
        </is>
      </c>
      <c r="B1" s="4" t="inlineStr">
        <is>
          <t>Submitted at</t>
        </is>
      </c>
      <c r="C1" s="4" t="inlineStr">
        <is>
          <t>Started at</t>
        </is>
      </c>
      <c r="D1" s="4" t="inlineStr">
        <is>
          <t>Are you applying or nominating someone?</t>
        </is>
      </c>
      <c r="E1" s="4" t="inlineStr">
        <is>
          <t>Your full name</t>
        </is>
      </c>
      <c r="F1" s="4" t="inlineStr">
        <is>
          <t>Your email</t>
        </is>
      </c>
      <c r="G1" s="4" t="inlineStr">
        <is>
          <t>Your phone</t>
        </is>
      </c>
      <c r="H1" s="4" t="inlineStr">
        <is>
          <t>source</t>
        </is>
      </c>
      <c r="I1" s="4" t="inlineStr">
        <is>
          <t>Nominee's full name</t>
        </is>
      </c>
      <c r="J1" s="4" t="inlineStr">
        <is>
          <t>Nominee's email</t>
        </is>
      </c>
      <c r="K1" s="4" t="inlineStr">
        <is>
          <t>Why would they be a good board member?</t>
        </is>
      </c>
      <c r="L1" s="4" t="inlineStr">
        <is>
          <t>Does the nominee know you're nominating them?</t>
        </is>
      </c>
      <c r="M1" s="4" t="inlineStr">
        <is>
          <t>Where do you live, or which community are you part of?</t>
        </is>
      </c>
      <c r="N1" s="4" t="inlineStr">
        <is>
          <t>LinkedIn or website</t>
        </is>
      </c>
      <c r="O1" s="4" t="inlineStr">
        <is>
          <t>CV or résumé (optional)</t>
        </is>
      </c>
      <c r="P1" s="4" t="inlineStr">
        <is>
          <t>Which skills would you bring?</t>
        </is>
      </c>
      <c r="Q1" s="4" t="inlineStr">
        <is>
          <t>Have you served on a board or committee before?</t>
        </is>
      </c>
      <c r="R1" s="4" t="inlineStr">
        <is>
          <t>Tell us about that board or committee</t>
        </is>
      </c>
      <c r="S1" s="4" t="inlineStr">
        <is>
          <t>Which committees interest you?</t>
        </is>
      </c>
      <c r="T1" s="4" t="inlineStr">
        <is>
          <t>How many hours a month could you give?</t>
        </is>
      </c>
      <c r="U1" s="4" t="inlineStr">
        <is>
          <t>Why do you want to join our board?</t>
        </is>
      </c>
      <c r="V1" s="4" t="inlineStr">
        <is>
          <t>Any potential conflicts of interest?</t>
        </is>
      </c>
      <c r="W1" s="4" t="inlineStr">
        <is>
          <t>May we contact you for a conversation and a reference?</t>
        </is>
      </c>
      <c r="X1" s="4" t="inlineStr">
        <is>
          <t>Form version</t>
        </is>
      </c>
      <c r="Y1" s="4" t="n"/>
      <c r="Z1" s="4" t="n"/>
      <c r="AA1" s="4" t="n"/>
      <c r="AB1" s="4" t="n"/>
      <c r="AC1" s="29" t="n"/>
      <c r="AD1" s="17" t="inlineStr">
        <is>
          <t>Status</t>
        </is>
      </c>
      <c r="AE1" s="17">
        <f>"Add: "&amp;IF(Skills!$B$5="","Skill 1",Skills!$B$5)</f>
        <v/>
      </c>
      <c r="AF1" s="17">
        <f>"Add: "&amp;IF(Skills!$B$6="","Skill 2",Skills!$B$6)</f>
        <v/>
      </c>
      <c r="AG1" s="17">
        <f>"Add: "&amp;IF(Skills!$B$7="","Skill 3",Skills!$B$7)</f>
        <v/>
      </c>
      <c r="AH1" s="17">
        <f>"Add: "&amp;IF(Skills!$B$8="","Skill 4",Skills!$B$8)</f>
        <v/>
      </c>
      <c r="AI1" s="17">
        <f>"Add: "&amp;IF(Skills!$B$9="","Skill 5",Skills!$B$9)</f>
        <v/>
      </c>
      <c r="AJ1" s="17">
        <f>"Add: "&amp;IF(Skills!$B$10="","Skill 6",Skills!$B$10)</f>
        <v/>
      </c>
      <c r="AK1" s="17">
        <f>"Add: "&amp;IF(Skills!$B$11="","Skill 7",Skills!$B$11)</f>
        <v/>
      </c>
      <c r="AL1" s="17">
        <f>"Add: "&amp;IF(Skills!$B$12="","Skill 8",Skills!$B$12)</f>
        <v/>
      </c>
      <c r="AM1" s="17">
        <f>"Add: "&amp;IF(Skills!$B$13="","Skill 9",Skills!$B$13)</f>
        <v/>
      </c>
      <c r="AN1" s="17">
        <f>"Add: "&amp;IF(Skills!$B$14="","Skill 10",Skills!$B$14)</f>
        <v/>
      </c>
      <c r="AO1" s="17">
        <f>"Add: "&amp;IF(Skills!$B$15="","Skill 11",Skills!$B$15)</f>
        <v/>
      </c>
      <c r="AP1" s="17">
        <f>"Add: "&amp;IF(Skills!$B$16="","Skill 12",Skills!$B$16)</f>
        <v/>
      </c>
      <c r="AQ1" s="29" t="n"/>
      <c r="AR1" s="18" t="inlineStr">
        <is>
          <t>Candidate (worked out)</t>
        </is>
      </c>
      <c r="AS1" s="18" t="inlineStr">
        <is>
          <t>Applied or nominated (worked out)</t>
        </is>
      </c>
      <c r="AT1" s="18" t="inlineStr">
        <is>
          <t>Email (worked out)</t>
        </is>
      </c>
      <c r="AU1" s="18" t="inlineStr">
        <is>
          <t>Skills answer (worked out)</t>
        </is>
      </c>
      <c r="AV1" s="18" t="inlineStr">
        <is>
          <t>Hours a month (worked out)</t>
        </is>
      </c>
      <c r="AW1" s="18" t="inlineStr">
        <is>
          <t>Committees (worked out)</t>
        </is>
      </c>
      <c r="AX1" s="18">
        <f>"Brings: "&amp;IF(Skills!$B$5="","Skill 1",Skills!$B$5)&amp;" (1 = yes)"</f>
        <v/>
      </c>
      <c r="AY1" s="18">
        <f>"Brings: "&amp;IF(Skills!$B$6="","Skill 2",Skills!$B$6)&amp;" (1 = yes)"</f>
        <v/>
      </c>
      <c r="AZ1" s="18">
        <f>"Brings: "&amp;IF(Skills!$B$7="","Skill 3",Skills!$B$7)&amp;" (1 = yes)"</f>
        <v/>
      </c>
      <c r="BA1" s="18">
        <f>"Brings: "&amp;IF(Skills!$B$8="","Skill 4",Skills!$B$8)&amp;" (1 = yes)"</f>
        <v/>
      </c>
      <c r="BB1" s="18">
        <f>"Brings: "&amp;IF(Skills!$B$9="","Skill 5",Skills!$B$9)&amp;" (1 = yes)"</f>
        <v/>
      </c>
      <c r="BC1" s="18">
        <f>"Brings: "&amp;IF(Skills!$B$10="","Skill 6",Skills!$B$10)&amp;" (1 = yes)"</f>
        <v/>
      </c>
      <c r="BD1" s="18">
        <f>"Brings: "&amp;IF(Skills!$B$11="","Skill 7",Skills!$B$11)&amp;" (1 = yes)"</f>
        <v/>
      </c>
      <c r="BE1" s="18">
        <f>"Brings: "&amp;IF(Skills!$B$12="","Skill 8",Skills!$B$12)&amp;" (1 = yes)"</f>
        <v/>
      </c>
      <c r="BF1" s="18">
        <f>"Brings: "&amp;IF(Skills!$B$13="","Skill 9",Skills!$B$13)&amp;" (1 = yes)"</f>
        <v/>
      </c>
      <c r="BG1" s="18">
        <f>"Brings: "&amp;IF(Skills!$B$14="","Skill 10",Skills!$B$14)&amp;" (1 = yes)"</f>
        <v/>
      </c>
      <c r="BH1" s="18">
        <f>"Brings: "&amp;IF(Skills!$B$15="","Skill 11",Skills!$B$15)&amp;" (1 = yes)"</f>
        <v/>
      </c>
      <c r="BI1" s="18">
        <f>"Brings: "&amp;IF(Skills!$B$16="","Skill 12",Skills!$B$16)&amp;" (1 = yes)"</f>
        <v/>
      </c>
      <c r="BJ1" s="18" t="inlineStr">
        <is>
          <t>Gaps filled (worked out)</t>
        </is>
      </c>
      <c r="BK1" s="18" t="inlineStr">
        <is>
          <t>Sort key (helper)</t>
        </is>
      </c>
      <c r="BL1" s="18" t="inlineStr">
        <is>
          <t>Which gaps (worked out)</t>
        </is>
      </c>
    </row>
    <row r="2">
      <c r="A2" s="30" t="inlineStr">
        <is>
          <t>EXAMPLE-01 (delete me)</t>
        </is>
      </c>
      <c r="B2" s="30" t="inlineStr">
        <is>
          <t>2026-10-02T11:11:00.000Z</t>
        </is>
      </c>
      <c r="C2" s="30" t="inlineStr">
        <is>
          <t>2026-10-02T11:06:00.000Z</t>
        </is>
      </c>
      <c r="D2" s="30" t="inlineStr">
        <is>
          <t>Applying for myself</t>
        </is>
      </c>
      <c r="E2" s="30" t="inlineStr">
        <is>
          <t>Priya Example</t>
        </is>
      </c>
      <c r="F2" s="30" t="inlineStr">
        <is>
          <t>priya@example.com</t>
        </is>
      </c>
      <c r="G2" s="30" t="inlineStr">
        <is>
          <t>555-0111</t>
        </is>
      </c>
      <c r="H2" s="30" t="inlineStr">
        <is>
          <t>annual-report</t>
        </is>
      </c>
      <c r="I2" s="30" t="n"/>
      <c r="J2" s="30" t="n"/>
      <c r="K2" s="30" t="n"/>
      <c r="L2" s="30" t="n"/>
      <c r="M2" s="30" t="n"/>
      <c r="N2" s="30" t="n"/>
      <c r="O2" s="30" t="n"/>
      <c r="P2" s="30" t="inlineStr">
        <is>
          <t>Legal, Technology</t>
        </is>
      </c>
      <c r="Q2" s="30" t="n"/>
      <c r="R2" s="30" t="n"/>
      <c r="S2" s="30" t="inlineStr">
        <is>
          <t>Governance and nominating</t>
        </is>
      </c>
      <c r="T2" s="30" t="inlineStr">
        <is>
          <t>4 to 6</t>
        </is>
      </c>
      <c r="U2" s="30" t="n"/>
      <c r="V2" s="30" t="n"/>
      <c r="W2" s="30" t="inlineStr">
        <is>
          <t>Yes</t>
        </is>
      </c>
      <c r="X2" s="30" t="n">
        <v>1</v>
      </c>
      <c r="AD2" s="28" t="inlineStr">
        <is>
          <t>Conversation booked</t>
        </is>
      </c>
      <c r="AE2" s="28" t="n"/>
      <c r="AF2" s="28" t="n"/>
      <c r="AG2" s="28" t="n"/>
      <c r="AH2" s="28" t="n"/>
      <c r="AI2" s="28" t="n"/>
      <c r="AJ2" s="28" t="n"/>
      <c r="AK2" s="28" t="n"/>
      <c r="AL2" s="28" t="n"/>
      <c r="AM2" s="28" t="n"/>
      <c r="AN2" s="28" t="n"/>
      <c r="AO2" s="28" t="n"/>
      <c r="AP2" s="28" t="n"/>
      <c r="AR2" s="31">
        <f>IF(IFERROR(TRIM(INDEX($A2:$AB2,MATCH(Lists!$B$5,$A$1:$AB$1,0))&amp;""),"")&lt;&gt;"",IFERROR(TRIM(INDEX($A2:$AB2,MATCH(Lists!$B$5,$A$1:$AB$1,0))&amp;""),""),IFERROR(TRIM(INDEX($A2:$AB2,MATCH(Lists!$B$3,$A$1:$AB$1,0))&amp;""),""))</f>
        <v/>
      </c>
      <c r="AS2" s="31">
        <f>IF(AR2="","",IF(IFERROR(TRIM(INDEX($A2:$AB2,MATCH(Lists!$B$5,$A$1:$AB$1,0))&amp;""),"")&lt;&gt;"","Nominated","Applied"))</f>
        <v/>
      </c>
      <c r="AT2" s="31">
        <f>IF(AR2="","",IF(IFERROR(TRIM(INDEX($A2:$AB2,MATCH(Lists!$B$5,$A$1:$AB$1,0))&amp;""),"")&lt;&gt;"",IFERROR(TRIM(INDEX($A2:$AB2,MATCH(Lists!$B$6,$A$1:$AB$1,0))&amp;""),""),IFERROR(TRIM(INDEX($A2:$AB2,MATCH(Lists!$B$4,$A$1:$AB$1,0))&amp;""),"")))</f>
        <v/>
      </c>
      <c r="AU2" s="31">
        <f>IF(AR2="","",IFERROR(TRIM(INDEX($A2:$AB2,MATCH(Lists!$B$7,$A$1:$AB$1,0))&amp;""),""))</f>
        <v/>
      </c>
      <c r="AV2" s="31">
        <f>IF(AR2="","",IFERROR(TRIM(INDEX($A2:$AB2,MATCH(Lists!$B$9,$A$1:$AB$1,0))&amp;""),""))</f>
        <v/>
      </c>
      <c r="AW2" s="31">
        <f>IF(AR2="","",IFERROR(TRIM(INDEX($A2:$AB2,MATCH(Lists!$B$8,$A$1:$AB$1,0))&amp;""),""))</f>
        <v/>
      </c>
      <c r="AX2" s="23">
        <f>IF(AR2="","",IF(OR(TRIM(AE2&amp;"")&lt;&gt;"",AND(Skills!$B$5&lt;&gt;"",ISNUMBER(SEARCH(Skills!$B$5,AU2)))),1,0))</f>
        <v/>
      </c>
      <c r="AY2" s="23">
        <f>IF(AR2="","",IF(OR(TRIM(AF2&amp;"")&lt;&gt;"",AND(Skills!$B$6&lt;&gt;"",ISNUMBER(SEARCH(Skills!$B$6,AU2)))),1,0))</f>
        <v/>
      </c>
      <c r="AZ2" s="23">
        <f>IF(AR2="","",IF(OR(TRIM(AG2&amp;"")&lt;&gt;"",AND(Skills!$B$7&lt;&gt;"",ISNUMBER(SEARCH(Skills!$B$7,AU2)))),1,0))</f>
        <v/>
      </c>
      <c r="BA2" s="23">
        <f>IF(AR2="","",IF(OR(TRIM(AH2&amp;"")&lt;&gt;"",AND(Skills!$B$8&lt;&gt;"",ISNUMBER(SEARCH(Skills!$B$8,AU2)))),1,0))</f>
        <v/>
      </c>
      <c r="BB2" s="23">
        <f>IF(AR2="","",IF(OR(TRIM(AI2&amp;"")&lt;&gt;"",AND(Skills!$B$9&lt;&gt;"",ISNUMBER(SEARCH(Skills!$B$9,AU2)))),1,0))</f>
        <v/>
      </c>
      <c r="BC2" s="23">
        <f>IF(AR2="","",IF(OR(TRIM(AJ2&amp;"")&lt;&gt;"",AND(Skills!$B$10&lt;&gt;"",ISNUMBER(SEARCH(Skills!$B$10,AU2)))),1,0))</f>
        <v/>
      </c>
      <c r="BD2" s="23">
        <f>IF(AR2="","",IF(OR(TRIM(AK2&amp;"")&lt;&gt;"",AND(Skills!$B$11&lt;&gt;"",ISNUMBER(SEARCH(Skills!$B$11,AU2)))),1,0))</f>
        <v/>
      </c>
      <c r="BE2" s="23">
        <f>IF(AR2="","",IF(OR(TRIM(AL2&amp;"")&lt;&gt;"",AND(Skills!$B$12&lt;&gt;"",ISNUMBER(SEARCH(Skills!$B$12,AU2)))),1,0))</f>
        <v/>
      </c>
      <c r="BF2" s="23">
        <f>IF(AR2="","",IF(OR(TRIM(AM2&amp;"")&lt;&gt;"",AND(Skills!$B$13&lt;&gt;"",ISNUMBER(SEARCH(Skills!$B$13,AU2)))),1,0))</f>
        <v/>
      </c>
      <c r="BG2" s="23">
        <f>IF(AR2="","",IF(OR(TRIM(AN2&amp;"")&lt;&gt;"",AND(Skills!$B$14&lt;&gt;"",ISNUMBER(SEARCH(Skills!$B$14,AU2)))),1,0))</f>
        <v/>
      </c>
      <c r="BH2" s="23">
        <f>IF(AR2="","",IF(OR(TRIM(AO2&amp;"")&lt;&gt;"",AND(Skills!$B$15&lt;&gt;"",ISNUMBER(SEARCH(Skills!$B$15,AU2)))),1,0))</f>
        <v/>
      </c>
      <c r="BI2" s="23">
        <f>IF(AR2="","",IF(OR(TRIM(AP2&amp;"")&lt;&gt;"",AND(Skills!$B$16&lt;&gt;"",ISNUMBER(SEARCH(Skills!$B$16,AU2)))),1,0))</f>
        <v/>
      </c>
      <c r="BJ2" s="23">
        <f>IF(AR2="","",SUMPRODUCT($AX2:$BI2,Skills!$B$20:$M$20))</f>
        <v/>
      </c>
      <c r="BK2" s="23">
        <f>IF(AR2="","",BJ2*100000+(100000-ROW()))</f>
        <v/>
      </c>
      <c r="BL2" s="31">
        <f>IF(AR2="","",IF((IF(AND(AX2=1,Skills!$B$20=1),Skills!$B$5&amp;", ","")&amp;IF(AND(AY2=1,Skills!$C$20=1),Skills!$B$6&amp;", ","")&amp;IF(AND(AZ2=1,Skills!$D$20=1),Skills!$B$7&amp;", ","")&amp;IF(AND(BA2=1,Skills!$E$20=1),Skills!$B$8&amp;", ","")&amp;IF(AND(BB2=1,Skills!$F$20=1),Skills!$B$9&amp;", ","")&amp;IF(AND(BC2=1,Skills!$G$20=1),Skills!$B$10&amp;", ","")&amp;IF(AND(BD2=1,Skills!$H$20=1),Skills!$B$11&amp;", ","")&amp;IF(AND(BE2=1,Skills!$I$20=1),Skills!$B$12&amp;", ","")&amp;IF(AND(BF2=1,Skills!$J$20=1),Skills!$B$13&amp;", ","")&amp;IF(AND(BG2=1,Skills!$K$20=1),Skills!$B$14&amp;", ","")&amp;IF(AND(BH2=1,Skills!$L$20=1),Skills!$B$15&amp;", ","")&amp;IF(AND(BI2=1,Skills!$M$20=1),Skills!$B$16&amp;", ",""))="","",LEFT(IF(AND(AX2=1,Skills!$B$20=1),Skills!$B$5&amp;", ","")&amp;IF(AND(AY2=1,Skills!$C$20=1),Skills!$B$6&amp;", ","")&amp;IF(AND(AZ2=1,Skills!$D$20=1),Skills!$B$7&amp;", ","")&amp;IF(AND(BA2=1,Skills!$E$20=1),Skills!$B$8&amp;", ","")&amp;IF(AND(BB2=1,Skills!$F$20=1),Skills!$B$9&amp;", ","")&amp;IF(AND(BC2=1,Skills!$G$20=1),Skills!$B$10&amp;", ","")&amp;IF(AND(BD2=1,Skills!$H$20=1),Skills!$B$11&amp;", ","")&amp;IF(AND(BE2=1,Skills!$I$20=1),Skills!$B$12&amp;", ","")&amp;IF(AND(BF2=1,Skills!$J$20=1),Skills!$B$13&amp;", ","")&amp;IF(AND(BG2=1,Skills!$K$20=1),Skills!$B$14&amp;", ","")&amp;IF(AND(BH2=1,Skills!$L$20=1),Skills!$B$15&amp;", ","")&amp;IF(AND(BI2=1,Skills!$M$20=1),Skills!$B$16&amp;", ",""),LEN(IF(AND(AX2=1,Skills!$B$20=1),Skills!$B$5&amp;", ","")&amp;IF(AND(AY2=1,Skills!$C$20=1),Skills!$B$6&amp;", ","")&amp;IF(AND(AZ2=1,Skills!$D$20=1),Skills!$B$7&amp;", ","")&amp;IF(AND(BA2=1,Skills!$E$20=1),Skills!$B$8&amp;", ","")&amp;IF(AND(BB2=1,Skills!$F$20=1),Skills!$B$9&amp;", ","")&amp;IF(AND(BC2=1,Skills!$G$20=1),Skills!$B$10&amp;", ","")&amp;IF(AND(BD2=1,Skills!$H$20=1),Skills!$B$11&amp;", ","")&amp;IF(AND(BE2=1,Skills!$I$20=1),Skills!$B$12&amp;", ","")&amp;IF(AND(BF2=1,Skills!$J$20=1),Skills!$B$13&amp;", ","")&amp;IF(AND(BG2=1,Skills!$K$20=1),Skills!$B$14&amp;", ","")&amp;IF(AND(BH2=1,Skills!$L$20=1),Skills!$B$15&amp;", ","")&amp;IF(AND(BI2=1,Skills!$M$20=1),Skills!$B$16&amp;", ",""))-2)))</f>
        <v/>
      </c>
    </row>
    <row r="3">
      <c r="A3" s="30" t="inlineStr">
        <is>
          <t>EXAMPLE-02 (delete me)</t>
        </is>
      </c>
      <c r="B3" s="30" t="inlineStr">
        <is>
          <t>2026-10-03T11:12:00.000Z</t>
        </is>
      </c>
      <c r="C3" s="30" t="inlineStr">
        <is>
          <t>2026-10-03T11:07:00.000Z</t>
        </is>
      </c>
      <c r="D3" s="30" t="inlineStr">
        <is>
          <t>Applying for myself</t>
        </is>
      </c>
      <c r="E3" s="30" t="inlineStr">
        <is>
          <t>Quinn Sample</t>
        </is>
      </c>
      <c r="F3" s="30" t="inlineStr">
        <is>
          <t>quinn@example.com</t>
        </is>
      </c>
      <c r="G3" s="30" t="inlineStr">
        <is>
          <t>555-0112</t>
        </is>
      </c>
      <c r="H3" s="30" t="inlineStr">
        <is>
          <t>annual-report</t>
        </is>
      </c>
      <c r="I3" s="30" t="n"/>
      <c r="J3" s="30" t="n"/>
      <c r="K3" s="30" t="n"/>
      <c r="L3" s="30" t="n"/>
      <c r="M3" s="30" t="n"/>
      <c r="N3" s="30" t="n"/>
      <c r="O3" s="30" t="n"/>
      <c r="P3" s="30" t="inlineStr">
        <is>
          <t>Finance and accounting, Strategy and governance</t>
        </is>
      </c>
      <c r="Q3" s="30" t="n"/>
      <c r="R3" s="30" t="n"/>
      <c r="S3" s="30" t="inlineStr">
        <is>
          <t>Finance</t>
        </is>
      </c>
      <c r="T3" s="30" t="inlineStr">
        <is>
          <t>Up to 3</t>
        </is>
      </c>
      <c r="U3" s="30" t="n"/>
      <c r="V3" s="30" t="n"/>
      <c r="W3" s="30" t="inlineStr">
        <is>
          <t>Yes</t>
        </is>
      </c>
      <c r="X3" s="30" t="n">
        <v>1</v>
      </c>
      <c r="AD3" s="28" t="inlineStr">
        <is>
          <t>New</t>
        </is>
      </c>
      <c r="AE3" s="28" t="n"/>
      <c r="AF3" s="28" t="n"/>
      <c r="AG3" s="28" t="n"/>
      <c r="AH3" s="28" t="n"/>
      <c r="AI3" s="28" t="n"/>
      <c r="AJ3" s="28" t="n"/>
      <c r="AK3" s="28" t="n"/>
      <c r="AL3" s="28" t="n"/>
      <c r="AM3" s="28" t="n"/>
      <c r="AN3" s="28" t="n"/>
      <c r="AO3" s="28" t="n"/>
      <c r="AP3" s="28" t="n"/>
      <c r="AR3" s="31">
        <f>IF(IFERROR(TRIM(INDEX($A3:$AB3,MATCH(Lists!$B$5,$A$1:$AB$1,0))&amp;""),"")&lt;&gt;"",IFERROR(TRIM(INDEX($A3:$AB3,MATCH(Lists!$B$5,$A$1:$AB$1,0))&amp;""),""),IFERROR(TRIM(INDEX($A3:$AB3,MATCH(Lists!$B$3,$A$1:$AB$1,0))&amp;""),""))</f>
        <v/>
      </c>
      <c r="AS3" s="31">
        <f>IF(AR3="","",IF(IFERROR(TRIM(INDEX($A3:$AB3,MATCH(Lists!$B$5,$A$1:$AB$1,0))&amp;""),"")&lt;&gt;"","Nominated","Applied"))</f>
        <v/>
      </c>
      <c r="AT3" s="31">
        <f>IF(AR3="","",IF(IFERROR(TRIM(INDEX($A3:$AB3,MATCH(Lists!$B$5,$A$1:$AB$1,0))&amp;""),"")&lt;&gt;"",IFERROR(TRIM(INDEX($A3:$AB3,MATCH(Lists!$B$6,$A$1:$AB$1,0))&amp;""),""),IFERROR(TRIM(INDEX($A3:$AB3,MATCH(Lists!$B$4,$A$1:$AB$1,0))&amp;""),"")))</f>
        <v/>
      </c>
      <c r="AU3" s="31">
        <f>IF(AR3="","",IFERROR(TRIM(INDEX($A3:$AB3,MATCH(Lists!$B$7,$A$1:$AB$1,0))&amp;""),""))</f>
        <v/>
      </c>
      <c r="AV3" s="31">
        <f>IF(AR3="","",IFERROR(TRIM(INDEX($A3:$AB3,MATCH(Lists!$B$9,$A$1:$AB$1,0))&amp;""),""))</f>
        <v/>
      </c>
      <c r="AW3" s="31">
        <f>IF(AR3="","",IFERROR(TRIM(INDEX($A3:$AB3,MATCH(Lists!$B$8,$A$1:$AB$1,0))&amp;""),""))</f>
        <v/>
      </c>
      <c r="AX3" s="23">
        <f>IF(AR3="","",IF(OR(TRIM(AE3&amp;"")&lt;&gt;"",AND(Skills!$B$5&lt;&gt;"",ISNUMBER(SEARCH(Skills!$B$5,AU3)))),1,0))</f>
        <v/>
      </c>
      <c r="AY3" s="23">
        <f>IF(AR3="","",IF(OR(TRIM(AF3&amp;"")&lt;&gt;"",AND(Skills!$B$6&lt;&gt;"",ISNUMBER(SEARCH(Skills!$B$6,AU3)))),1,0))</f>
        <v/>
      </c>
      <c r="AZ3" s="23">
        <f>IF(AR3="","",IF(OR(TRIM(AG3&amp;"")&lt;&gt;"",AND(Skills!$B$7&lt;&gt;"",ISNUMBER(SEARCH(Skills!$B$7,AU3)))),1,0))</f>
        <v/>
      </c>
      <c r="BA3" s="23">
        <f>IF(AR3="","",IF(OR(TRIM(AH3&amp;"")&lt;&gt;"",AND(Skills!$B$8&lt;&gt;"",ISNUMBER(SEARCH(Skills!$B$8,AU3)))),1,0))</f>
        <v/>
      </c>
      <c r="BB3" s="23">
        <f>IF(AR3="","",IF(OR(TRIM(AI3&amp;"")&lt;&gt;"",AND(Skills!$B$9&lt;&gt;"",ISNUMBER(SEARCH(Skills!$B$9,AU3)))),1,0))</f>
        <v/>
      </c>
      <c r="BC3" s="23">
        <f>IF(AR3="","",IF(OR(TRIM(AJ3&amp;"")&lt;&gt;"",AND(Skills!$B$10&lt;&gt;"",ISNUMBER(SEARCH(Skills!$B$10,AU3)))),1,0))</f>
        <v/>
      </c>
      <c r="BD3" s="23">
        <f>IF(AR3="","",IF(OR(TRIM(AK3&amp;"")&lt;&gt;"",AND(Skills!$B$11&lt;&gt;"",ISNUMBER(SEARCH(Skills!$B$11,AU3)))),1,0))</f>
        <v/>
      </c>
      <c r="BE3" s="23">
        <f>IF(AR3="","",IF(OR(TRIM(AL3&amp;"")&lt;&gt;"",AND(Skills!$B$12&lt;&gt;"",ISNUMBER(SEARCH(Skills!$B$12,AU3)))),1,0))</f>
        <v/>
      </c>
      <c r="BF3" s="23">
        <f>IF(AR3="","",IF(OR(TRIM(AM3&amp;"")&lt;&gt;"",AND(Skills!$B$13&lt;&gt;"",ISNUMBER(SEARCH(Skills!$B$13,AU3)))),1,0))</f>
        <v/>
      </c>
      <c r="BG3" s="23">
        <f>IF(AR3="","",IF(OR(TRIM(AN3&amp;"")&lt;&gt;"",AND(Skills!$B$14&lt;&gt;"",ISNUMBER(SEARCH(Skills!$B$14,AU3)))),1,0))</f>
        <v/>
      </c>
      <c r="BH3" s="23">
        <f>IF(AR3="","",IF(OR(TRIM(AO3&amp;"")&lt;&gt;"",AND(Skills!$B$15&lt;&gt;"",ISNUMBER(SEARCH(Skills!$B$15,AU3)))),1,0))</f>
        <v/>
      </c>
      <c r="BI3" s="23">
        <f>IF(AR3="","",IF(OR(TRIM(AP3&amp;"")&lt;&gt;"",AND(Skills!$B$16&lt;&gt;"",ISNUMBER(SEARCH(Skills!$B$16,AU3)))),1,0))</f>
        <v/>
      </c>
      <c r="BJ3" s="23">
        <f>IF(AR3="","",SUMPRODUCT($AX3:$BI3,Skills!$B$20:$M$20))</f>
        <v/>
      </c>
      <c r="BK3" s="23">
        <f>IF(AR3="","",BJ3*100000+(100000-ROW()))</f>
        <v/>
      </c>
      <c r="BL3" s="31">
        <f>IF(AR3="","",IF((IF(AND(AX3=1,Skills!$B$20=1),Skills!$B$5&amp;", ","")&amp;IF(AND(AY3=1,Skills!$C$20=1),Skills!$B$6&amp;", ","")&amp;IF(AND(AZ3=1,Skills!$D$20=1),Skills!$B$7&amp;", ","")&amp;IF(AND(BA3=1,Skills!$E$20=1),Skills!$B$8&amp;", ","")&amp;IF(AND(BB3=1,Skills!$F$20=1),Skills!$B$9&amp;", ","")&amp;IF(AND(BC3=1,Skills!$G$20=1),Skills!$B$10&amp;", ","")&amp;IF(AND(BD3=1,Skills!$H$20=1),Skills!$B$11&amp;", ","")&amp;IF(AND(BE3=1,Skills!$I$20=1),Skills!$B$12&amp;", ","")&amp;IF(AND(BF3=1,Skills!$J$20=1),Skills!$B$13&amp;", ","")&amp;IF(AND(BG3=1,Skills!$K$20=1),Skills!$B$14&amp;", ","")&amp;IF(AND(BH3=1,Skills!$L$20=1),Skills!$B$15&amp;", ","")&amp;IF(AND(BI3=1,Skills!$M$20=1),Skills!$B$16&amp;", ",""))="","",LEFT(IF(AND(AX3=1,Skills!$B$20=1),Skills!$B$5&amp;", ","")&amp;IF(AND(AY3=1,Skills!$C$20=1),Skills!$B$6&amp;", ","")&amp;IF(AND(AZ3=1,Skills!$D$20=1),Skills!$B$7&amp;", ","")&amp;IF(AND(BA3=1,Skills!$E$20=1),Skills!$B$8&amp;", ","")&amp;IF(AND(BB3=1,Skills!$F$20=1),Skills!$B$9&amp;", ","")&amp;IF(AND(BC3=1,Skills!$G$20=1),Skills!$B$10&amp;", ","")&amp;IF(AND(BD3=1,Skills!$H$20=1),Skills!$B$11&amp;", ","")&amp;IF(AND(BE3=1,Skills!$I$20=1),Skills!$B$12&amp;", ","")&amp;IF(AND(BF3=1,Skills!$J$20=1),Skills!$B$13&amp;", ","")&amp;IF(AND(BG3=1,Skills!$K$20=1),Skills!$B$14&amp;", ","")&amp;IF(AND(BH3=1,Skills!$L$20=1),Skills!$B$15&amp;", ","")&amp;IF(AND(BI3=1,Skills!$M$20=1),Skills!$B$16&amp;", ",""),LEN(IF(AND(AX3=1,Skills!$B$20=1),Skills!$B$5&amp;", ","")&amp;IF(AND(AY3=1,Skills!$C$20=1),Skills!$B$6&amp;", ","")&amp;IF(AND(AZ3=1,Skills!$D$20=1),Skills!$B$7&amp;", ","")&amp;IF(AND(BA3=1,Skills!$E$20=1),Skills!$B$8&amp;", ","")&amp;IF(AND(BB3=1,Skills!$F$20=1),Skills!$B$9&amp;", ","")&amp;IF(AND(BC3=1,Skills!$G$20=1),Skills!$B$10&amp;", ","")&amp;IF(AND(BD3=1,Skills!$H$20=1),Skills!$B$11&amp;", ","")&amp;IF(AND(BE3=1,Skills!$I$20=1),Skills!$B$12&amp;", ","")&amp;IF(AND(BF3=1,Skills!$J$20=1),Skills!$B$13&amp;", ","")&amp;IF(AND(BG3=1,Skills!$K$20=1),Skills!$B$14&amp;", ","")&amp;IF(AND(BH3=1,Skills!$L$20=1),Skills!$B$15&amp;", ","")&amp;IF(AND(BI3=1,Skills!$M$20=1),Skills!$B$16&amp;", ",""))-2)))</f>
        <v/>
      </c>
    </row>
    <row r="4">
      <c r="A4" s="30" t="inlineStr">
        <is>
          <t>EXAMPLE-03 (delete me)</t>
        </is>
      </c>
      <c r="B4" s="30" t="inlineStr">
        <is>
          <t>2026-10-04T11:13:00.000Z</t>
        </is>
      </c>
      <c r="C4" s="30" t="inlineStr">
        <is>
          <t>2026-10-04T11:08:00.000Z</t>
        </is>
      </c>
      <c r="D4" s="30" t="inlineStr">
        <is>
          <t>Applying for myself</t>
        </is>
      </c>
      <c r="E4" s="30" t="inlineStr">
        <is>
          <t>Rosa Placeholder</t>
        </is>
      </c>
      <c r="F4" s="30" t="inlineStr">
        <is>
          <t>rosa@example.com</t>
        </is>
      </c>
      <c r="G4" s="30" t="inlineStr">
        <is>
          <t>555-0113</t>
        </is>
      </c>
      <c r="H4" s="30" t="inlineStr">
        <is>
          <t>annual-report</t>
        </is>
      </c>
      <c r="I4" s="30" t="n"/>
      <c r="J4" s="30" t="n"/>
      <c r="K4" s="30" t="n"/>
      <c r="L4" s="30" t="n"/>
      <c r="M4" s="30" t="n"/>
      <c r="N4" s="30" t="n"/>
      <c r="O4" s="30" t="n"/>
      <c r="P4" s="30" t="inlineStr">
        <is>
          <t>Fundraising, Marketing and communications, HR and people</t>
        </is>
      </c>
      <c r="Q4" s="30" t="n"/>
      <c r="R4" s="30" t="n"/>
      <c r="S4" s="30" t="inlineStr">
        <is>
          <t>Fundraising, Events</t>
        </is>
      </c>
      <c r="T4" s="30" t="inlineStr">
        <is>
          <t>7 to 10</t>
        </is>
      </c>
      <c r="U4" s="30" t="n"/>
      <c r="V4" s="30" t="n"/>
      <c r="W4" s="30" t="inlineStr">
        <is>
          <t>Yes</t>
        </is>
      </c>
      <c r="X4" s="30" t="n">
        <v>1</v>
      </c>
      <c r="AD4" s="28" t="inlineStr">
        <is>
          <t>Recommended</t>
        </is>
      </c>
      <c r="AE4" s="28" t="n"/>
      <c r="AF4" s="28" t="n"/>
      <c r="AG4" s="28" t="n"/>
      <c r="AH4" s="28" t="n"/>
      <c r="AI4" s="28" t="n"/>
      <c r="AJ4" s="28" t="n"/>
      <c r="AK4" s="28" t="n"/>
      <c r="AL4" s="28" t="n"/>
      <c r="AM4" s="28" t="n"/>
      <c r="AN4" s="28" t="n"/>
      <c r="AO4" s="28" t="n"/>
      <c r="AP4" s="28" t="n"/>
      <c r="AR4" s="31">
        <f>IF(IFERROR(TRIM(INDEX($A4:$AB4,MATCH(Lists!$B$5,$A$1:$AB$1,0))&amp;""),"")&lt;&gt;"",IFERROR(TRIM(INDEX($A4:$AB4,MATCH(Lists!$B$5,$A$1:$AB$1,0))&amp;""),""),IFERROR(TRIM(INDEX($A4:$AB4,MATCH(Lists!$B$3,$A$1:$AB$1,0))&amp;""),""))</f>
        <v/>
      </c>
      <c r="AS4" s="31">
        <f>IF(AR4="","",IF(IFERROR(TRIM(INDEX($A4:$AB4,MATCH(Lists!$B$5,$A$1:$AB$1,0))&amp;""),"")&lt;&gt;"","Nominated","Applied"))</f>
        <v/>
      </c>
      <c r="AT4" s="31">
        <f>IF(AR4="","",IF(IFERROR(TRIM(INDEX($A4:$AB4,MATCH(Lists!$B$5,$A$1:$AB$1,0))&amp;""),"")&lt;&gt;"",IFERROR(TRIM(INDEX($A4:$AB4,MATCH(Lists!$B$6,$A$1:$AB$1,0))&amp;""),""),IFERROR(TRIM(INDEX($A4:$AB4,MATCH(Lists!$B$4,$A$1:$AB$1,0))&amp;""),"")))</f>
        <v/>
      </c>
      <c r="AU4" s="31">
        <f>IF(AR4="","",IFERROR(TRIM(INDEX($A4:$AB4,MATCH(Lists!$B$7,$A$1:$AB$1,0))&amp;""),""))</f>
        <v/>
      </c>
      <c r="AV4" s="31">
        <f>IF(AR4="","",IFERROR(TRIM(INDEX($A4:$AB4,MATCH(Lists!$B$9,$A$1:$AB$1,0))&amp;""),""))</f>
        <v/>
      </c>
      <c r="AW4" s="31">
        <f>IF(AR4="","",IFERROR(TRIM(INDEX($A4:$AB4,MATCH(Lists!$B$8,$A$1:$AB$1,0))&amp;""),""))</f>
        <v/>
      </c>
      <c r="AX4" s="23">
        <f>IF(AR4="","",IF(OR(TRIM(AE4&amp;"")&lt;&gt;"",AND(Skills!$B$5&lt;&gt;"",ISNUMBER(SEARCH(Skills!$B$5,AU4)))),1,0))</f>
        <v/>
      </c>
      <c r="AY4" s="23">
        <f>IF(AR4="","",IF(OR(TRIM(AF4&amp;"")&lt;&gt;"",AND(Skills!$B$6&lt;&gt;"",ISNUMBER(SEARCH(Skills!$B$6,AU4)))),1,0))</f>
        <v/>
      </c>
      <c r="AZ4" s="23">
        <f>IF(AR4="","",IF(OR(TRIM(AG4&amp;"")&lt;&gt;"",AND(Skills!$B$7&lt;&gt;"",ISNUMBER(SEARCH(Skills!$B$7,AU4)))),1,0))</f>
        <v/>
      </c>
      <c r="BA4" s="23">
        <f>IF(AR4="","",IF(OR(TRIM(AH4&amp;"")&lt;&gt;"",AND(Skills!$B$8&lt;&gt;"",ISNUMBER(SEARCH(Skills!$B$8,AU4)))),1,0))</f>
        <v/>
      </c>
      <c r="BB4" s="23">
        <f>IF(AR4="","",IF(OR(TRIM(AI4&amp;"")&lt;&gt;"",AND(Skills!$B$9&lt;&gt;"",ISNUMBER(SEARCH(Skills!$B$9,AU4)))),1,0))</f>
        <v/>
      </c>
      <c r="BC4" s="23">
        <f>IF(AR4="","",IF(OR(TRIM(AJ4&amp;"")&lt;&gt;"",AND(Skills!$B$10&lt;&gt;"",ISNUMBER(SEARCH(Skills!$B$10,AU4)))),1,0))</f>
        <v/>
      </c>
      <c r="BD4" s="23">
        <f>IF(AR4="","",IF(OR(TRIM(AK4&amp;"")&lt;&gt;"",AND(Skills!$B$11&lt;&gt;"",ISNUMBER(SEARCH(Skills!$B$11,AU4)))),1,0))</f>
        <v/>
      </c>
      <c r="BE4" s="23">
        <f>IF(AR4="","",IF(OR(TRIM(AL4&amp;"")&lt;&gt;"",AND(Skills!$B$12&lt;&gt;"",ISNUMBER(SEARCH(Skills!$B$12,AU4)))),1,0))</f>
        <v/>
      </c>
      <c r="BF4" s="23">
        <f>IF(AR4="","",IF(OR(TRIM(AM4&amp;"")&lt;&gt;"",AND(Skills!$B$13&lt;&gt;"",ISNUMBER(SEARCH(Skills!$B$13,AU4)))),1,0))</f>
        <v/>
      </c>
      <c r="BG4" s="23">
        <f>IF(AR4="","",IF(OR(TRIM(AN4&amp;"")&lt;&gt;"",AND(Skills!$B$14&lt;&gt;"",ISNUMBER(SEARCH(Skills!$B$14,AU4)))),1,0))</f>
        <v/>
      </c>
      <c r="BH4" s="23">
        <f>IF(AR4="","",IF(OR(TRIM(AO4&amp;"")&lt;&gt;"",AND(Skills!$B$15&lt;&gt;"",ISNUMBER(SEARCH(Skills!$B$15,AU4)))),1,0))</f>
        <v/>
      </c>
      <c r="BI4" s="23">
        <f>IF(AR4="","",IF(OR(TRIM(AP4&amp;"")&lt;&gt;"",AND(Skills!$B$16&lt;&gt;"",ISNUMBER(SEARCH(Skills!$B$16,AU4)))),1,0))</f>
        <v/>
      </c>
      <c r="BJ4" s="23">
        <f>IF(AR4="","",SUMPRODUCT($AX4:$BI4,Skills!$B$20:$M$20))</f>
        <v/>
      </c>
      <c r="BK4" s="23">
        <f>IF(AR4="","",BJ4*100000+(100000-ROW()))</f>
        <v/>
      </c>
      <c r="BL4" s="31">
        <f>IF(AR4="","",IF((IF(AND(AX4=1,Skills!$B$20=1),Skills!$B$5&amp;", ","")&amp;IF(AND(AY4=1,Skills!$C$20=1),Skills!$B$6&amp;", ","")&amp;IF(AND(AZ4=1,Skills!$D$20=1),Skills!$B$7&amp;", ","")&amp;IF(AND(BA4=1,Skills!$E$20=1),Skills!$B$8&amp;", ","")&amp;IF(AND(BB4=1,Skills!$F$20=1),Skills!$B$9&amp;", ","")&amp;IF(AND(BC4=1,Skills!$G$20=1),Skills!$B$10&amp;", ","")&amp;IF(AND(BD4=1,Skills!$H$20=1),Skills!$B$11&amp;", ","")&amp;IF(AND(BE4=1,Skills!$I$20=1),Skills!$B$12&amp;", ","")&amp;IF(AND(BF4=1,Skills!$J$20=1),Skills!$B$13&amp;", ","")&amp;IF(AND(BG4=1,Skills!$K$20=1),Skills!$B$14&amp;", ","")&amp;IF(AND(BH4=1,Skills!$L$20=1),Skills!$B$15&amp;", ","")&amp;IF(AND(BI4=1,Skills!$M$20=1),Skills!$B$16&amp;", ",""))="","",LEFT(IF(AND(AX4=1,Skills!$B$20=1),Skills!$B$5&amp;", ","")&amp;IF(AND(AY4=1,Skills!$C$20=1),Skills!$B$6&amp;", ","")&amp;IF(AND(AZ4=1,Skills!$D$20=1),Skills!$B$7&amp;", ","")&amp;IF(AND(BA4=1,Skills!$E$20=1),Skills!$B$8&amp;", ","")&amp;IF(AND(BB4=1,Skills!$F$20=1),Skills!$B$9&amp;", ","")&amp;IF(AND(BC4=1,Skills!$G$20=1),Skills!$B$10&amp;", ","")&amp;IF(AND(BD4=1,Skills!$H$20=1),Skills!$B$11&amp;", ","")&amp;IF(AND(BE4=1,Skills!$I$20=1),Skills!$B$12&amp;", ","")&amp;IF(AND(BF4=1,Skills!$J$20=1),Skills!$B$13&amp;", ","")&amp;IF(AND(BG4=1,Skills!$K$20=1),Skills!$B$14&amp;", ","")&amp;IF(AND(BH4=1,Skills!$L$20=1),Skills!$B$15&amp;", ","")&amp;IF(AND(BI4=1,Skills!$M$20=1),Skills!$B$16&amp;", ",""),LEN(IF(AND(AX4=1,Skills!$B$20=1),Skills!$B$5&amp;", ","")&amp;IF(AND(AY4=1,Skills!$C$20=1),Skills!$B$6&amp;", ","")&amp;IF(AND(AZ4=1,Skills!$D$20=1),Skills!$B$7&amp;", ","")&amp;IF(AND(BA4=1,Skills!$E$20=1),Skills!$B$8&amp;", ","")&amp;IF(AND(BB4=1,Skills!$F$20=1),Skills!$B$9&amp;", ","")&amp;IF(AND(BC4=1,Skills!$G$20=1),Skills!$B$10&amp;", ","")&amp;IF(AND(BD4=1,Skills!$H$20=1),Skills!$B$11&amp;", ","")&amp;IF(AND(BE4=1,Skills!$I$20=1),Skills!$B$12&amp;", ","")&amp;IF(AND(BF4=1,Skills!$J$20=1),Skills!$B$13&amp;", ","")&amp;IF(AND(BG4=1,Skills!$K$20=1),Skills!$B$14&amp;", ","")&amp;IF(AND(BH4=1,Skills!$L$20=1),Skills!$B$15&amp;", ","")&amp;IF(AND(BI4=1,Skills!$M$20=1),Skills!$B$16&amp;", ",""))-2)))</f>
        <v/>
      </c>
    </row>
    <row r="5">
      <c r="A5" s="30" t="inlineStr">
        <is>
          <t>EXAMPLE-04 (delete me)</t>
        </is>
      </c>
      <c r="B5" s="30" t="inlineStr">
        <is>
          <t>2026-10-05T11:14:00.000Z</t>
        </is>
      </c>
      <c r="C5" s="30" t="inlineStr">
        <is>
          <t>2026-10-05T11:09:00.000Z</t>
        </is>
      </c>
      <c r="D5" s="30" t="inlineStr">
        <is>
          <t>Applying for myself</t>
        </is>
      </c>
      <c r="E5" s="30" t="inlineStr">
        <is>
          <t>Sam Demo</t>
        </is>
      </c>
      <c r="F5" s="30" t="inlineStr">
        <is>
          <t>sam@example.com</t>
        </is>
      </c>
      <c r="G5" s="30" t="inlineStr">
        <is>
          <t>555-0114</t>
        </is>
      </c>
      <c r="H5" s="30" t="inlineStr">
        <is>
          <t>annual-report</t>
        </is>
      </c>
      <c r="I5" s="30" t="n"/>
      <c r="J5" s="30" t="n"/>
      <c r="K5" s="30" t="n"/>
      <c r="L5" s="30" t="n"/>
      <c r="M5" s="30" t="n"/>
      <c r="N5" s="30" t="n"/>
      <c r="O5" s="30" t="n"/>
      <c r="P5" s="30" t="inlineStr">
        <is>
          <t>Marketing and communications</t>
        </is>
      </c>
      <c r="Q5" s="30" t="n"/>
      <c r="R5" s="30" t="n"/>
      <c r="S5" s="30" t="inlineStr">
        <is>
          <t>Events</t>
        </is>
      </c>
      <c r="T5" s="30" t="inlineStr">
        <is>
          <t>Up to 3</t>
        </is>
      </c>
      <c r="U5" s="30" t="n"/>
      <c r="V5" s="30" t="n"/>
      <c r="W5" s="30" t="inlineStr">
        <is>
          <t>Yes</t>
        </is>
      </c>
      <c r="X5" s="30" t="n">
        <v>1</v>
      </c>
      <c r="AD5" s="28" t="inlineStr">
        <is>
          <t>New</t>
        </is>
      </c>
      <c r="AE5" s="28" t="n"/>
      <c r="AF5" s="28" t="n"/>
      <c r="AG5" s="28" t="n"/>
      <c r="AH5" s="28" t="n"/>
      <c r="AI5" s="28" t="n"/>
      <c r="AJ5" s="28" t="n"/>
      <c r="AK5" s="28" t="n"/>
      <c r="AL5" s="28" t="n"/>
      <c r="AM5" s="28" t="n"/>
      <c r="AN5" s="28" t="n"/>
      <c r="AO5" s="28" t="n"/>
      <c r="AP5" s="28" t="n"/>
      <c r="AR5" s="31">
        <f>IF(IFERROR(TRIM(INDEX($A5:$AB5,MATCH(Lists!$B$5,$A$1:$AB$1,0))&amp;""),"")&lt;&gt;"",IFERROR(TRIM(INDEX($A5:$AB5,MATCH(Lists!$B$5,$A$1:$AB$1,0))&amp;""),""),IFERROR(TRIM(INDEX($A5:$AB5,MATCH(Lists!$B$3,$A$1:$AB$1,0))&amp;""),""))</f>
        <v/>
      </c>
      <c r="AS5" s="31">
        <f>IF(AR5="","",IF(IFERROR(TRIM(INDEX($A5:$AB5,MATCH(Lists!$B$5,$A$1:$AB$1,0))&amp;""),"")&lt;&gt;"","Nominated","Applied"))</f>
        <v/>
      </c>
      <c r="AT5" s="31">
        <f>IF(AR5="","",IF(IFERROR(TRIM(INDEX($A5:$AB5,MATCH(Lists!$B$5,$A$1:$AB$1,0))&amp;""),"")&lt;&gt;"",IFERROR(TRIM(INDEX($A5:$AB5,MATCH(Lists!$B$6,$A$1:$AB$1,0))&amp;""),""),IFERROR(TRIM(INDEX($A5:$AB5,MATCH(Lists!$B$4,$A$1:$AB$1,0))&amp;""),"")))</f>
        <v/>
      </c>
      <c r="AU5" s="31">
        <f>IF(AR5="","",IFERROR(TRIM(INDEX($A5:$AB5,MATCH(Lists!$B$7,$A$1:$AB$1,0))&amp;""),""))</f>
        <v/>
      </c>
      <c r="AV5" s="31">
        <f>IF(AR5="","",IFERROR(TRIM(INDEX($A5:$AB5,MATCH(Lists!$B$9,$A$1:$AB$1,0))&amp;""),""))</f>
        <v/>
      </c>
      <c r="AW5" s="31">
        <f>IF(AR5="","",IFERROR(TRIM(INDEX($A5:$AB5,MATCH(Lists!$B$8,$A$1:$AB$1,0))&amp;""),""))</f>
        <v/>
      </c>
      <c r="AX5" s="23">
        <f>IF(AR5="","",IF(OR(TRIM(AE5&amp;"")&lt;&gt;"",AND(Skills!$B$5&lt;&gt;"",ISNUMBER(SEARCH(Skills!$B$5,AU5)))),1,0))</f>
        <v/>
      </c>
      <c r="AY5" s="23">
        <f>IF(AR5="","",IF(OR(TRIM(AF5&amp;"")&lt;&gt;"",AND(Skills!$B$6&lt;&gt;"",ISNUMBER(SEARCH(Skills!$B$6,AU5)))),1,0))</f>
        <v/>
      </c>
      <c r="AZ5" s="23">
        <f>IF(AR5="","",IF(OR(TRIM(AG5&amp;"")&lt;&gt;"",AND(Skills!$B$7&lt;&gt;"",ISNUMBER(SEARCH(Skills!$B$7,AU5)))),1,0))</f>
        <v/>
      </c>
      <c r="BA5" s="23">
        <f>IF(AR5="","",IF(OR(TRIM(AH5&amp;"")&lt;&gt;"",AND(Skills!$B$8&lt;&gt;"",ISNUMBER(SEARCH(Skills!$B$8,AU5)))),1,0))</f>
        <v/>
      </c>
      <c r="BB5" s="23">
        <f>IF(AR5="","",IF(OR(TRIM(AI5&amp;"")&lt;&gt;"",AND(Skills!$B$9&lt;&gt;"",ISNUMBER(SEARCH(Skills!$B$9,AU5)))),1,0))</f>
        <v/>
      </c>
      <c r="BC5" s="23">
        <f>IF(AR5="","",IF(OR(TRIM(AJ5&amp;"")&lt;&gt;"",AND(Skills!$B$10&lt;&gt;"",ISNUMBER(SEARCH(Skills!$B$10,AU5)))),1,0))</f>
        <v/>
      </c>
      <c r="BD5" s="23">
        <f>IF(AR5="","",IF(OR(TRIM(AK5&amp;"")&lt;&gt;"",AND(Skills!$B$11&lt;&gt;"",ISNUMBER(SEARCH(Skills!$B$11,AU5)))),1,0))</f>
        <v/>
      </c>
      <c r="BE5" s="23">
        <f>IF(AR5="","",IF(OR(TRIM(AL5&amp;"")&lt;&gt;"",AND(Skills!$B$12&lt;&gt;"",ISNUMBER(SEARCH(Skills!$B$12,AU5)))),1,0))</f>
        <v/>
      </c>
      <c r="BF5" s="23">
        <f>IF(AR5="","",IF(OR(TRIM(AM5&amp;"")&lt;&gt;"",AND(Skills!$B$13&lt;&gt;"",ISNUMBER(SEARCH(Skills!$B$13,AU5)))),1,0))</f>
        <v/>
      </c>
      <c r="BG5" s="23">
        <f>IF(AR5="","",IF(OR(TRIM(AN5&amp;"")&lt;&gt;"",AND(Skills!$B$14&lt;&gt;"",ISNUMBER(SEARCH(Skills!$B$14,AU5)))),1,0))</f>
        <v/>
      </c>
      <c r="BH5" s="23">
        <f>IF(AR5="","",IF(OR(TRIM(AO5&amp;"")&lt;&gt;"",AND(Skills!$B$15&lt;&gt;"",ISNUMBER(SEARCH(Skills!$B$15,AU5)))),1,0))</f>
        <v/>
      </c>
      <c r="BI5" s="23">
        <f>IF(AR5="","",IF(OR(TRIM(AP5&amp;"")&lt;&gt;"",AND(Skills!$B$16&lt;&gt;"",ISNUMBER(SEARCH(Skills!$B$16,AU5)))),1,0))</f>
        <v/>
      </c>
      <c r="BJ5" s="23">
        <f>IF(AR5="","",SUMPRODUCT($AX5:$BI5,Skills!$B$20:$M$20))</f>
        <v/>
      </c>
      <c r="BK5" s="23">
        <f>IF(AR5="","",BJ5*100000+(100000-ROW()))</f>
        <v/>
      </c>
      <c r="BL5" s="31">
        <f>IF(AR5="","",IF((IF(AND(AX5=1,Skills!$B$20=1),Skills!$B$5&amp;", ","")&amp;IF(AND(AY5=1,Skills!$C$20=1),Skills!$B$6&amp;", ","")&amp;IF(AND(AZ5=1,Skills!$D$20=1),Skills!$B$7&amp;", ","")&amp;IF(AND(BA5=1,Skills!$E$20=1),Skills!$B$8&amp;", ","")&amp;IF(AND(BB5=1,Skills!$F$20=1),Skills!$B$9&amp;", ","")&amp;IF(AND(BC5=1,Skills!$G$20=1),Skills!$B$10&amp;", ","")&amp;IF(AND(BD5=1,Skills!$H$20=1),Skills!$B$11&amp;", ","")&amp;IF(AND(BE5=1,Skills!$I$20=1),Skills!$B$12&amp;", ","")&amp;IF(AND(BF5=1,Skills!$J$20=1),Skills!$B$13&amp;", ","")&amp;IF(AND(BG5=1,Skills!$K$20=1),Skills!$B$14&amp;", ","")&amp;IF(AND(BH5=1,Skills!$L$20=1),Skills!$B$15&amp;", ","")&amp;IF(AND(BI5=1,Skills!$M$20=1),Skills!$B$16&amp;", ",""))="","",LEFT(IF(AND(AX5=1,Skills!$B$20=1),Skills!$B$5&amp;", ","")&amp;IF(AND(AY5=1,Skills!$C$20=1),Skills!$B$6&amp;", ","")&amp;IF(AND(AZ5=1,Skills!$D$20=1),Skills!$B$7&amp;", ","")&amp;IF(AND(BA5=1,Skills!$E$20=1),Skills!$B$8&amp;", ","")&amp;IF(AND(BB5=1,Skills!$F$20=1),Skills!$B$9&amp;", ","")&amp;IF(AND(BC5=1,Skills!$G$20=1),Skills!$B$10&amp;", ","")&amp;IF(AND(BD5=1,Skills!$H$20=1),Skills!$B$11&amp;", ","")&amp;IF(AND(BE5=1,Skills!$I$20=1),Skills!$B$12&amp;", ","")&amp;IF(AND(BF5=1,Skills!$J$20=1),Skills!$B$13&amp;", ","")&amp;IF(AND(BG5=1,Skills!$K$20=1),Skills!$B$14&amp;", ","")&amp;IF(AND(BH5=1,Skills!$L$20=1),Skills!$B$15&amp;", ","")&amp;IF(AND(BI5=1,Skills!$M$20=1),Skills!$B$16&amp;", ",""),LEN(IF(AND(AX5=1,Skills!$B$20=1),Skills!$B$5&amp;", ","")&amp;IF(AND(AY5=1,Skills!$C$20=1),Skills!$B$6&amp;", ","")&amp;IF(AND(AZ5=1,Skills!$D$20=1),Skills!$B$7&amp;", ","")&amp;IF(AND(BA5=1,Skills!$E$20=1),Skills!$B$8&amp;", ","")&amp;IF(AND(BB5=1,Skills!$F$20=1),Skills!$B$9&amp;", ","")&amp;IF(AND(BC5=1,Skills!$G$20=1),Skills!$B$10&amp;", ","")&amp;IF(AND(BD5=1,Skills!$H$20=1),Skills!$B$11&amp;", ","")&amp;IF(AND(BE5=1,Skills!$I$20=1),Skills!$B$12&amp;", ","")&amp;IF(AND(BF5=1,Skills!$J$20=1),Skills!$B$13&amp;", ","")&amp;IF(AND(BG5=1,Skills!$K$20=1),Skills!$B$14&amp;", ","")&amp;IF(AND(BH5=1,Skills!$L$20=1),Skills!$B$15&amp;", ","")&amp;IF(AND(BI5=1,Skills!$M$20=1),Skills!$B$16&amp;", ",""))-2)))</f>
        <v/>
      </c>
    </row>
    <row r="6">
      <c r="A6" s="30" t="inlineStr">
        <is>
          <t>EXAMPLE-05 (delete me)</t>
        </is>
      </c>
      <c r="B6" s="30" t="inlineStr">
        <is>
          <t>2026-10-06T11:15:00.000Z</t>
        </is>
      </c>
      <c r="C6" s="30" t="inlineStr">
        <is>
          <t>2026-10-06T11:10:00.000Z</t>
        </is>
      </c>
      <c r="D6" s="30" t="inlineStr">
        <is>
          <t>Applying for myself</t>
        </is>
      </c>
      <c r="E6" s="30" t="inlineStr">
        <is>
          <t>Tariq Madeup</t>
        </is>
      </c>
      <c r="F6" s="30" t="inlineStr">
        <is>
          <t>tariq@example.com</t>
        </is>
      </c>
      <c r="G6" s="30" t="inlineStr">
        <is>
          <t>555-0115</t>
        </is>
      </c>
      <c r="H6" s="30" t="inlineStr">
        <is>
          <t>annual-report</t>
        </is>
      </c>
      <c r="I6" s="30" t="n"/>
      <c r="J6" s="30" t="n"/>
      <c r="K6" s="30" t="n"/>
      <c r="L6" s="30" t="n"/>
      <c r="M6" s="30" t="n"/>
      <c r="N6" s="30" t="n"/>
      <c r="O6" s="30" t="n"/>
      <c r="P6" s="30" t="inlineStr">
        <is>
          <t>Technology, Program or service expertise</t>
        </is>
      </c>
      <c r="Q6" s="30" t="n"/>
      <c r="R6" s="30" t="n"/>
      <c r="S6" s="30" t="inlineStr">
        <is>
          <t>Programs</t>
        </is>
      </c>
      <c r="T6" s="30" t="inlineStr">
        <is>
          <t>4 to 6</t>
        </is>
      </c>
      <c r="U6" s="30" t="n"/>
      <c r="V6" s="30" t="n"/>
      <c r="W6" s="30" t="inlineStr">
        <is>
          <t>Yes</t>
        </is>
      </c>
      <c r="X6" s="30" t="n">
        <v>1</v>
      </c>
      <c r="AD6" s="28" t="inlineStr">
        <is>
          <t>New</t>
        </is>
      </c>
      <c r="AE6" s="28" t="n"/>
      <c r="AF6" s="28" t="n"/>
      <c r="AG6" s="28" t="n"/>
      <c r="AH6" s="28" t="n"/>
      <c r="AI6" s="28" t="n"/>
      <c r="AJ6" s="28" t="n"/>
      <c r="AK6" s="28" t="n"/>
      <c r="AL6" s="28" t="n"/>
      <c r="AM6" s="28" t="n"/>
      <c r="AN6" s="28" t="n"/>
      <c r="AO6" s="28" t="n"/>
      <c r="AP6" s="28" t="n"/>
      <c r="AR6" s="31">
        <f>IF(IFERROR(TRIM(INDEX($A6:$AB6,MATCH(Lists!$B$5,$A$1:$AB$1,0))&amp;""),"")&lt;&gt;"",IFERROR(TRIM(INDEX($A6:$AB6,MATCH(Lists!$B$5,$A$1:$AB$1,0))&amp;""),""),IFERROR(TRIM(INDEX($A6:$AB6,MATCH(Lists!$B$3,$A$1:$AB$1,0))&amp;""),""))</f>
        <v/>
      </c>
      <c r="AS6" s="31">
        <f>IF(AR6="","",IF(IFERROR(TRIM(INDEX($A6:$AB6,MATCH(Lists!$B$5,$A$1:$AB$1,0))&amp;""),"")&lt;&gt;"","Nominated","Applied"))</f>
        <v/>
      </c>
      <c r="AT6" s="31">
        <f>IF(AR6="","",IF(IFERROR(TRIM(INDEX($A6:$AB6,MATCH(Lists!$B$5,$A$1:$AB$1,0))&amp;""),"")&lt;&gt;"",IFERROR(TRIM(INDEX($A6:$AB6,MATCH(Lists!$B$6,$A$1:$AB$1,0))&amp;""),""),IFERROR(TRIM(INDEX($A6:$AB6,MATCH(Lists!$B$4,$A$1:$AB$1,0))&amp;""),"")))</f>
        <v/>
      </c>
      <c r="AU6" s="31">
        <f>IF(AR6="","",IFERROR(TRIM(INDEX($A6:$AB6,MATCH(Lists!$B$7,$A$1:$AB$1,0))&amp;""),""))</f>
        <v/>
      </c>
      <c r="AV6" s="31">
        <f>IF(AR6="","",IFERROR(TRIM(INDEX($A6:$AB6,MATCH(Lists!$B$9,$A$1:$AB$1,0))&amp;""),""))</f>
        <v/>
      </c>
      <c r="AW6" s="31">
        <f>IF(AR6="","",IFERROR(TRIM(INDEX($A6:$AB6,MATCH(Lists!$B$8,$A$1:$AB$1,0))&amp;""),""))</f>
        <v/>
      </c>
      <c r="AX6" s="23">
        <f>IF(AR6="","",IF(OR(TRIM(AE6&amp;"")&lt;&gt;"",AND(Skills!$B$5&lt;&gt;"",ISNUMBER(SEARCH(Skills!$B$5,AU6)))),1,0))</f>
        <v/>
      </c>
      <c r="AY6" s="23">
        <f>IF(AR6="","",IF(OR(TRIM(AF6&amp;"")&lt;&gt;"",AND(Skills!$B$6&lt;&gt;"",ISNUMBER(SEARCH(Skills!$B$6,AU6)))),1,0))</f>
        <v/>
      </c>
      <c r="AZ6" s="23">
        <f>IF(AR6="","",IF(OR(TRIM(AG6&amp;"")&lt;&gt;"",AND(Skills!$B$7&lt;&gt;"",ISNUMBER(SEARCH(Skills!$B$7,AU6)))),1,0))</f>
        <v/>
      </c>
      <c r="BA6" s="23">
        <f>IF(AR6="","",IF(OR(TRIM(AH6&amp;"")&lt;&gt;"",AND(Skills!$B$8&lt;&gt;"",ISNUMBER(SEARCH(Skills!$B$8,AU6)))),1,0))</f>
        <v/>
      </c>
      <c r="BB6" s="23">
        <f>IF(AR6="","",IF(OR(TRIM(AI6&amp;"")&lt;&gt;"",AND(Skills!$B$9&lt;&gt;"",ISNUMBER(SEARCH(Skills!$B$9,AU6)))),1,0))</f>
        <v/>
      </c>
      <c r="BC6" s="23">
        <f>IF(AR6="","",IF(OR(TRIM(AJ6&amp;"")&lt;&gt;"",AND(Skills!$B$10&lt;&gt;"",ISNUMBER(SEARCH(Skills!$B$10,AU6)))),1,0))</f>
        <v/>
      </c>
      <c r="BD6" s="23">
        <f>IF(AR6="","",IF(OR(TRIM(AK6&amp;"")&lt;&gt;"",AND(Skills!$B$11&lt;&gt;"",ISNUMBER(SEARCH(Skills!$B$11,AU6)))),1,0))</f>
        <v/>
      </c>
      <c r="BE6" s="23">
        <f>IF(AR6="","",IF(OR(TRIM(AL6&amp;"")&lt;&gt;"",AND(Skills!$B$12&lt;&gt;"",ISNUMBER(SEARCH(Skills!$B$12,AU6)))),1,0))</f>
        <v/>
      </c>
      <c r="BF6" s="23">
        <f>IF(AR6="","",IF(OR(TRIM(AM6&amp;"")&lt;&gt;"",AND(Skills!$B$13&lt;&gt;"",ISNUMBER(SEARCH(Skills!$B$13,AU6)))),1,0))</f>
        <v/>
      </c>
      <c r="BG6" s="23">
        <f>IF(AR6="","",IF(OR(TRIM(AN6&amp;"")&lt;&gt;"",AND(Skills!$B$14&lt;&gt;"",ISNUMBER(SEARCH(Skills!$B$14,AU6)))),1,0))</f>
        <v/>
      </c>
      <c r="BH6" s="23">
        <f>IF(AR6="","",IF(OR(TRIM(AO6&amp;"")&lt;&gt;"",AND(Skills!$B$15&lt;&gt;"",ISNUMBER(SEARCH(Skills!$B$15,AU6)))),1,0))</f>
        <v/>
      </c>
      <c r="BI6" s="23">
        <f>IF(AR6="","",IF(OR(TRIM(AP6&amp;"")&lt;&gt;"",AND(Skills!$B$16&lt;&gt;"",ISNUMBER(SEARCH(Skills!$B$16,AU6)))),1,0))</f>
        <v/>
      </c>
      <c r="BJ6" s="23">
        <f>IF(AR6="","",SUMPRODUCT($AX6:$BI6,Skills!$B$20:$M$20))</f>
        <v/>
      </c>
      <c r="BK6" s="23">
        <f>IF(AR6="","",BJ6*100000+(100000-ROW()))</f>
        <v/>
      </c>
      <c r="BL6" s="31">
        <f>IF(AR6="","",IF((IF(AND(AX6=1,Skills!$B$20=1),Skills!$B$5&amp;", ","")&amp;IF(AND(AY6=1,Skills!$C$20=1),Skills!$B$6&amp;", ","")&amp;IF(AND(AZ6=1,Skills!$D$20=1),Skills!$B$7&amp;", ","")&amp;IF(AND(BA6=1,Skills!$E$20=1),Skills!$B$8&amp;", ","")&amp;IF(AND(BB6=1,Skills!$F$20=1),Skills!$B$9&amp;", ","")&amp;IF(AND(BC6=1,Skills!$G$20=1),Skills!$B$10&amp;", ","")&amp;IF(AND(BD6=1,Skills!$H$20=1),Skills!$B$11&amp;", ","")&amp;IF(AND(BE6=1,Skills!$I$20=1),Skills!$B$12&amp;", ","")&amp;IF(AND(BF6=1,Skills!$J$20=1),Skills!$B$13&amp;", ","")&amp;IF(AND(BG6=1,Skills!$K$20=1),Skills!$B$14&amp;", ","")&amp;IF(AND(BH6=1,Skills!$L$20=1),Skills!$B$15&amp;", ","")&amp;IF(AND(BI6=1,Skills!$M$20=1),Skills!$B$16&amp;", ",""))="","",LEFT(IF(AND(AX6=1,Skills!$B$20=1),Skills!$B$5&amp;", ","")&amp;IF(AND(AY6=1,Skills!$C$20=1),Skills!$B$6&amp;", ","")&amp;IF(AND(AZ6=1,Skills!$D$20=1),Skills!$B$7&amp;", ","")&amp;IF(AND(BA6=1,Skills!$E$20=1),Skills!$B$8&amp;", ","")&amp;IF(AND(BB6=1,Skills!$F$20=1),Skills!$B$9&amp;", ","")&amp;IF(AND(BC6=1,Skills!$G$20=1),Skills!$B$10&amp;", ","")&amp;IF(AND(BD6=1,Skills!$H$20=1),Skills!$B$11&amp;", ","")&amp;IF(AND(BE6=1,Skills!$I$20=1),Skills!$B$12&amp;", ","")&amp;IF(AND(BF6=1,Skills!$J$20=1),Skills!$B$13&amp;", ","")&amp;IF(AND(BG6=1,Skills!$K$20=1),Skills!$B$14&amp;", ","")&amp;IF(AND(BH6=1,Skills!$L$20=1),Skills!$B$15&amp;", ","")&amp;IF(AND(BI6=1,Skills!$M$20=1),Skills!$B$16&amp;", ",""),LEN(IF(AND(AX6=1,Skills!$B$20=1),Skills!$B$5&amp;", ","")&amp;IF(AND(AY6=1,Skills!$C$20=1),Skills!$B$6&amp;", ","")&amp;IF(AND(AZ6=1,Skills!$D$20=1),Skills!$B$7&amp;", ","")&amp;IF(AND(BA6=1,Skills!$E$20=1),Skills!$B$8&amp;", ","")&amp;IF(AND(BB6=1,Skills!$F$20=1),Skills!$B$9&amp;", ","")&amp;IF(AND(BC6=1,Skills!$G$20=1),Skills!$B$10&amp;", ","")&amp;IF(AND(BD6=1,Skills!$H$20=1),Skills!$B$11&amp;", ","")&amp;IF(AND(BE6=1,Skills!$I$20=1),Skills!$B$12&amp;", ","")&amp;IF(AND(BF6=1,Skills!$J$20=1),Skills!$B$13&amp;", ","")&amp;IF(AND(BG6=1,Skills!$K$20=1),Skills!$B$14&amp;", ","")&amp;IF(AND(BH6=1,Skills!$L$20=1),Skills!$B$15&amp;", ","")&amp;IF(AND(BI6=1,Skills!$M$20=1),Skills!$B$16&amp;", ",""))-2)))</f>
        <v/>
      </c>
    </row>
    <row r="7">
      <c r="A7" s="30" t="inlineStr">
        <is>
          <t>EXAMPLE-06 (delete me)</t>
        </is>
      </c>
      <c r="B7" s="30" t="inlineStr">
        <is>
          <t>2026-10-07T11:16:00.000Z</t>
        </is>
      </c>
      <c r="C7" s="30" t="inlineStr">
        <is>
          <t>2026-10-07T11:11:00.000Z</t>
        </is>
      </c>
      <c r="D7" s="30" t="inlineStr">
        <is>
          <t>Applying for myself</t>
        </is>
      </c>
      <c r="E7" s="30" t="inlineStr">
        <is>
          <t>Uma Pretend</t>
        </is>
      </c>
      <c r="F7" s="30" t="inlineStr">
        <is>
          <t>uma@example.com</t>
        </is>
      </c>
      <c r="G7" s="30" t="inlineStr">
        <is>
          <t>555-0116</t>
        </is>
      </c>
      <c r="H7" s="30" t="inlineStr">
        <is>
          <t>annual-report</t>
        </is>
      </c>
      <c r="I7" s="30" t="n"/>
      <c r="J7" s="30" t="n"/>
      <c r="K7" s="30" t="n"/>
      <c r="L7" s="30" t="n"/>
      <c r="M7" s="30" t="n"/>
      <c r="N7" s="30" t="n"/>
      <c r="O7" s="30" t="n"/>
      <c r="P7" s="30" t="inlineStr">
        <is>
          <t>Legal, Fundraising, Technology</t>
        </is>
      </c>
      <c r="Q7" s="30" t="n"/>
      <c r="R7" s="30" t="n"/>
      <c r="S7" s="30" t="inlineStr">
        <is>
          <t>Governance and nominating, Fundraising</t>
        </is>
      </c>
      <c r="T7" s="30" t="inlineStr">
        <is>
          <t>4 to 6</t>
        </is>
      </c>
      <c r="U7" s="30" t="n"/>
      <c r="V7" s="30" t="n"/>
      <c r="W7" s="30" t="inlineStr">
        <is>
          <t>Yes</t>
        </is>
      </c>
      <c r="X7" s="30" t="n">
        <v>1</v>
      </c>
      <c r="AD7" s="28" t="inlineStr">
        <is>
          <t>Conversation booked</t>
        </is>
      </c>
      <c r="AE7" s="28" t="n"/>
      <c r="AF7" s="28" t="n"/>
      <c r="AG7" s="28" t="n"/>
      <c r="AH7" s="28" t="n"/>
      <c r="AI7" s="28" t="n"/>
      <c r="AJ7" s="28" t="n"/>
      <c r="AK7" s="28" t="n"/>
      <c r="AL7" s="28" t="n"/>
      <c r="AM7" s="28" t="n"/>
      <c r="AN7" s="28" t="n"/>
      <c r="AO7" s="28" t="n"/>
      <c r="AP7" s="28" t="n"/>
      <c r="AR7" s="31">
        <f>IF(IFERROR(TRIM(INDEX($A7:$AB7,MATCH(Lists!$B$5,$A$1:$AB$1,0))&amp;""),"")&lt;&gt;"",IFERROR(TRIM(INDEX($A7:$AB7,MATCH(Lists!$B$5,$A$1:$AB$1,0))&amp;""),""),IFERROR(TRIM(INDEX($A7:$AB7,MATCH(Lists!$B$3,$A$1:$AB$1,0))&amp;""),""))</f>
        <v/>
      </c>
      <c r="AS7" s="31">
        <f>IF(AR7="","",IF(IFERROR(TRIM(INDEX($A7:$AB7,MATCH(Lists!$B$5,$A$1:$AB$1,0))&amp;""),"")&lt;&gt;"","Nominated","Applied"))</f>
        <v/>
      </c>
      <c r="AT7" s="31">
        <f>IF(AR7="","",IF(IFERROR(TRIM(INDEX($A7:$AB7,MATCH(Lists!$B$5,$A$1:$AB$1,0))&amp;""),"")&lt;&gt;"",IFERROR(TRIM(INDEX($A7:$AB7,MATCH(Lists!$B$6,$A$1:$AB$1,0))&amp;""),""),IFERROR(TRIM(INDEX($A7:$AB7,MATCH(Lists!$B$4,$A$1:$AB$1,0))&amp;""),"")))</f>
        <v/>
      </c>
      <c r="AU7" s="31">
        <f>IF(AR7="","",IFERROR(TRIM(INDEX($A7:$AB7,MATCH(Lists!$B$7,$A$1:$AB$1,0))&amp;""),""))</f>
        <v/>
      </c>
      <c r="AV7" s="31">
        <f>IF(AR7="","",IFERROR(TRIM(INDEX($A7:$AB7,MATCH(Lists!$B$9,$A$1:$AB$1,0))&amp;""),""))</f>
        <v/>
      </c>
      <c r="AW7" s="31">
        <f>IF(AR7="","",IFERROR(TRIM(INDEX($A7:$AB7,MATCH(Lists!$B$8,$A$1:$AB$1,0))&amp;""),""))</f>
        <v/>
      </c>
      <c r="AX7" s="23">
        <f>IF(AR7="","",IF(OR(TRIM(AE7&amp;"")&lt;&gt;"",AND(Skills!$B$5&lt;&gt;"",ISNUMBER(SEARCH(Skills!$B$5,AU7)))),1,0))</f>
        <v/>
      </c>
      <c r="AY7" s="23">
        <f>IF(AR7="","",IF(OR(TRIM(AF7&amp;"")&lt;&gt;"",AND(Skills!$B$6&lt;&gt;"",ISNUMBER(SEARCH(Skills!$B$6,AU7)))),1,0))</f>
        <v/>
      </c>
      <c r="AZ7" s="23">
        <f>IF(AR7="","",IF(OR(TRIM(AG7&amp;"")&lt;&gt;"",AND(Skills!$B$7&lt;&gt;"",ISNUMBER(SEARCH(Skills!$B$7,AU7)))),1,0))</f>
        <v/>
      </c>
      <c r="BA7" s="23">
        <f>IF(AR7="","",IF(OR(TRIM(AH7&amp;"")&lt;&gt;"",AND(Skills!$B$8&lt;&gt;"",ISNUMBER(SEARCH(Skills!$B$8,AU7)))),1,0))</f>
        <v/>
      </c>
      <c r="BB7" s="23">
        <f>IF(AR7="","",IF(OR(TRIM(AI7&amp;"")&lt;&gt;"",AND(Skills!$B$9&lt;&gt;"",ISNUMBER(SEARCH(Skills!$B$9,AU7)))),1,0))</f>
        <v/>
      </c>
      <c r="BC7" s="23">
        <f>IF(AR7="","",IF(OR(TRIM(AJ7&amp;"")&lt;&gt;"",AND(Skills!$B$10&lt;&gt;"",ISNUMBER(SEARCH(Skills!$B$10,AU7)))),1,0))</f>
        <v/>
      </c>
      <c r="BD7" s="23">
        <f>IF(AR7="","",IF(OR(TRIM(AK7&amp;"")&lt;&gt;"",AND(Skills!$B$11&lt;&gt;"",ISNUMBER(SEARCH(Skills!$B$11,AU7)))),1,0))</f>
        <v/>
      </c>
      <c r="BE7" s="23">
        <f>IF(AR7="","",IF(OR(TRIM(AL7&amp;"")&lt;&gt;"",AND(Skills!$B$12&lt;&gt;"",ISNUMBER(SEARCH(Skills!$B$12,AU7)))),1,0))</f>
        <v/>
      </c>
      <c r="BF7" s="23">
        <f>IF(AR7="","",IF(OR(TRIM(AM7&amp;"")&lt;&gt;"",AND(Skills!$B$13&lt;&gt;"",ISNUMBER(SEARCH(Skills!$B$13,AU7)))),1,0))</f>
        <v/>
      </c>
      <c r="BG7" s="23">
        <f>IF(AR7="","",IF(OR(TRIM(AN7&amp;"")&lt;&gt;"",AND(Skills!$B$14&lt;&gt;"",ISNUMBER(SEARCH(Skills!$B$14,AU7)))),1,0))</f>
        <v/>
      </c>
      <c r="BH7" s="23">
        <f>IF(AR7="","",IF(OR(TRIM(AO7&amp;"")&lt;&gt;"",AND(Skills!$B$15&lt;&gt;"",ISNUMBER(SEARCH(Skills!$B$15,AU7)))),1,0))</f>
        <v/>
      </c>
      <c r="BI7" s="23">
        <f>IF(AR7="","",IF(OR(TRIM(AP7&amp;"")&lt;&gt;"",AND(Skills!$B$16&lt;&gt;"",ISNUMBER(SEARCH(Skills!$B$16,AU7)))),1,0))</f>
        <v/>
      </c>
      <c r="BJ7" s="23">
        <f>IF(AR7="","",SUMPRODUCT($AX7:$BI7,Skills!$B$20:$M$20))</f>
        <v/>
      </c>
      <c r="BK7" s="23">
        <f>IF(AR7="","",BJ7*100000+(100000-ROW()))</f>
        <v/>
      </c>
      <c r="BL7" s="31">
        <f>IF(AR7="","",IF((IF(AND(AX7=1,Skills!$B$20=1),Skills!$B$5&amp;", ","")&amp;IF(AND(AY7=1,Skills!$C$20=1),Skills!$B$6&amp;", ","")&amp;IF(AND(AZ7=1,Skills!$D$20=1),Skills!$B$7&amp;", ","")&amp;IF(AND(BA7=1,Skills!$E$20=1),Skills!$B$8&amp;", ","")&amp;IF(AND(BB7=1,Skills!$F$20=1),Skills!$B$9&amp;", ","")&amp;IF(AND(BC7=1,Skills!$G$20=1),Skills!$B$10&amp;", ","")&amp;IF(AND(BD7=1,Skills!$H$20=1),Skills!$B$11&amp;", ","")&amp;IF(AND(BE7=1,Skills!$I$20=1),Skills!$B$12&amp;", ","")&amp;IF(AND(BF7=1,Skills!$J$20=1),Skills!$B$13&amp;", ","")&amp;IF(AND(BG7=1,Skills!$K$20=1),Skills!$B$14&amp;", ","")&amp;IF(AND(BH7=1,Skills!$L$20=1),Skills!$B$15&amp;", ","")&amp;IF(AND(BI7=1,Skills!$M$20=1),Skills!$B$16&amp;", ",""))="","",LEFT(IF(AND(AX7=1,Skills!$B$20=1),Skills!$B$5&amp;", ","")&amp;IF(AND(AY7=1,Skills!$C$20=1),Skills!$B$6&amp;", ","")&amp;IF(AND(AZ7=1,Skills!$D$20=1),Skills!$B$7&amp;", ","")&amp;IF(AND(BA7=1,Skills!$E$20=1),Skills!$B$8&amp;", ","")&amp;IF(AND(BB7=1,Skills!$F$20=1),Skills!$B$9&amp;", ","")&amp;IF(AND(BC7=1,Skills!$G$20=1),Skills!$B$10&amp;", ","")&amp;IF(AND(BD7=1,Skills!$H$20=1),Skills!$B$11&amp;", ","")&amp;IF(AND(BE7=1,Skills!$I$20=1),Skills!$B$12&amp;", ","")&amp;IF(AND(BF7=1,Skills!$J$20=1),Skills!$B$13&amp;", ","")&amp;IF(AND(BG7=1,Skills!$K$20=1),Skills!$B$14&amp;", ","")&amp;IF(AND(BH7=1,Skills!$L$20=1),Skills!$B$15&amp;", ","")&amp;IF(AND(BI7=1,Skills!$M$20=1),Skills!$B$16&amp;", ",""),LEN(IF(AND(AX7=1,Skills!$B$20=1),Skills!$B$5&amp;", ","")&amp;IF(AND(AY7=1,Skills!$C$20=1),Skills!$B$6&amp;", ","")&amp;IF(AND(AZ7=1,Skills!$D$20=1),Skills!$B$7&amp;", ","")&amp;IF(AND(BA7=1,Skills!$E$20=1),Skills!$B$8&amp;", ","")&amp;IF(AND(BB7=1,Skills!$F$20=1),Skills!$B$9&amp;", ","")&amp;IF(AND(BC7=1,Skills!$G$20=1),Skills!$B$10&amp;", ","")&amp;IF(AND(BD7=1,Skills!$H$20=1),Skills!$B$11&amp;", ","")&amp;IF(AND(BE7=1,Skills!$I$20=1),Skills!$B$12&amp;", ","")&amp;IF(AND(BF7=1,Skills!$J$20=1),Skills!$B$13&amp;", ","")&amp;IF(AND(BG7=1,Skills!$K$20=1),Skills!$B$14&amp;", ","")&amp;IF(AND(BH7=1,Skills!$L$20=1),Skills!$B$15&amp;", ","")&amp;IF(AND(BI7=1,Skills!$M$20=1),Skills!$B$16&amp;", ",""))-2)))</f>
        <v/>
      </c>
    </row>
    <row r="8">
      <c r="A8" s="30" t="inlineStr">
        <is>
          <t>EXAMPLE-07 (delete me)</t>
        </is>
      </c>
      <c r="B8" s="30" t="inlineStr">
        <is>
          <t>2026-10-08T11:17:00.000Z</t>
        </is>
      </c>
      <c r="C8" s="30" t="inlineStr">
        <is>
          <t>2026-10-08T11:12:00.000Z</t>
        </is>
      </c>
      <c r="D8" s="30" t="inlineStr">
        <is>
          <t>Applying for myself</t>
        </is>
      </c>
      <c r="E8" s="30" t="inlineStr">
        <is>
          <t>Victor Notreal</t>
        </is>
      </c>
      <c r="F8" s="30" t="inlineStr">
        <is>
          <t>victor@example.com</t>
        </is>
      </c>
      <c r="G8" s="30" t="inlineStr">
        <is>
          <t>555-0117</t>
        </is>
      </c>
      <c r="H8" s="30" t="inlineStr">
        <is>
          <t>annual-report</t>
        </is>
      </c>
      <c r="I8" s="30" t="n"/>
      <c r="J8" s="30" t="n"/>
      <c r="K8" s="30" t="n"/>
      <c r="L8" s="30" t="n"/>
      <c r="M8" s="30" t="n"/>
      <c r="N8" s="30" t="n"/>
      <c r="O8" s="30" t="n"/>
      <c r="P8" s="30" t="inlineStr">
        <is>
          <t>Finance and accounting</t>
        </is>
      </c>
      <c r="Q8" s="30" t="n"/>
      <c r="R8" s="30" t="n"/>
      <c r="S8" s="30" t="inlineStr">
        <is>
          <t>Finance</t>
        </is>
      </c>
      <c r="T8" s="30" t="inlineStr">
        <is>
          <t>Up to 3</t>
        </is>
      </c>
      <c r="U8" s="30" t="n"/>
      <c r="V8" s="30" t="n"/>
      <c r="W8" s="30" t="inlineStr">
        <is>
          <t>Yes</t>
        </is>
      </c>
      <c r="X8" s="30" t="n">
        <v>1</v>
      </c>
      <c r="AD8" s="28" t="inlineStr">
        <is>
          <t>Not this year</t>
        </is>
      </c>
      <c r="AE8" s="28" t="n"/>
      <c r="AF8" s="28" t="n"/>
      <c r="AG8" s="28" t="n"/>
      <c r="AH8" s="28" t="n"/>
      <c r="AI8" s="28" t="n"/>
      <c r="AJ8" s="28" t="n"/>
      <c r="AK8" s="28" t="n"/>
      <c r="AL8" s="28" t="n"/>
      <c r="AM8" s="28" t="n"/>
      <c r="AN8" s="28" t="n"/>
      <c r="AO8" s="28" t="n"/>
      <c r="AP8" s="28" t="n"/>
      <c r="AR8" s="31">
        <f>IF(IFERROR(TRIM(INDEX($A8:$AB8,MATCH(Lists!$B$5,$A$1:$AB$1,0))&amp;""),"")&lt;&gt;"",IFERROR(TRIM(INDEX($A8:$AB8,MATCH(Lists!$B$5,$A$1:$AB$1,0))&amp;""),""),IFERROR(TRIM(INDEX($A8:$AB8,MATCH(Lists!$B$3,$A$1:$AB$1,0))&amp;""),""))</f>
        <v/>
      </c>
      <c r="AS8" s="31">
        <f>IF(AR8="","",IF(IFERROR(TRIM(INDEX($A8:$AB8,MATCH(Lists!$B$5,$A$1:$AB$1,0))&amp;""),"")&lt;&gt;"","Nominated","Applied"))</f>
        <v/>
      </c>
      <c r="AT8" s="31">
        <f>IF(AR8="","",IF(IFERROR(TRIM(INDEX($A8:$AB8,MATCH(Lists!$B$5,$A$1:$AB$1,0))&amp;""),"")&lt;&gt;"",IFERROR(TRIM(INDEX($A8:$AB8,MATCH(Lists!$B$6,$A$1:$AB$1,0))&amp;""),""),IFERROR(TRIM(INDEX($A8:$AB8,MATCH(Lists!$B$4,$A$1:$AB$1,0))&amp;""),"")))</f>
        <v/>
      </c>
      <c r="AU8" s="31">
        <f>IF(AR8="","",IFERROR(TRIM(INDEX($A8:$AB8,MATCH(Lists!$B$7,$A$1:$AB$1,0))&amp;""),""))</f>
        <v/>
      </c>
      <c r="AV8" s="31">
        <f>IF(AR8="","",IFERROR(TRIM(INDEX($A8:$AB8,MATCH(Lists!$B$9,$A$1:$AB$1,0))&amp;""),""))</f>
        <v/>
      </c>
      <c r="AW8" s="31">
        <f>IF(AR8="","",IFERROR(TRIM(INDEX($A8:$AB8,MATCH(Lists!$B$8,$A$1:$AB$1,0))&amp;""),""))</f>
        <v/>
      </c>
      <c r="AX8" s="23">
        <f>IF(AR8="","",IF(OR(TRIM(AE8&amp;"")&lt;&gt;"",AND(Skills!$B$5&lt;&gt;"",ISNUMBER(SEARCH(Skills!$B$5,AU8)))),1,0))</f>
        <v/>
      </c>
      <c r="AY8" s="23">
        <f>IF(AR8="","",IF(OR(TRIM(AF8&amp;"")&lt;&gt;"",AND(Skills!$B$6&lt;&gt;"",ISNUMBER(SEARCH(Skills!$B$6,AU8)))),1,0))</f>
        <v/>
      </c>
      <c r="AZ8" s="23">
        <f>IF(AR8="","",IF(OR(TRIM(AG8&amp;"")&lt;&gt;"",AND(Skills!$B$7&lt;&gt;"",ISNUMBER(SEARCH(Skills!$B$7,AU8)))),1,0))</f>
        <v/>
      </c>
      <c r="BA8" s="23">
        <f>IF(AR8="","",IF(OR(TRIM(AH8&amp;"")&lt;&gt;"",AND(Skills!$B$8&lt;&gt;"",ISNUMBER(SEARCH(Skills!$B$8,AU8)))),1,0))</f>
        <v/>
      </c>
      <c r="BB8" s="23">
        <f>IF(AR8="","",IF(OR(TRIM(AI8&amp;"")&lt;&gt;"",AND(Skills!$B$9&lt;&gt;"",ISNUMBER(SEARCH(Skills!$B$9,AU8)))),1,0))</f>
        <v/>
      </c>
      <c r="BC8" s="23">
        <f>IF(AR8="","",IF(OR(TRIM(AJ8&amp;"")&lt;&gt;"",AND(Skills!$B$10&lt;&gt;"",ISNUMBER(SEARCH(Skills!$B$10,AU8)))),1,0))</f>
        <v/>
      </c>
      <c r="BD8" s="23">
        <f>IF(AR8="","",IF(OR(TRIM(AK8&amp;"")&lt;&gt;"",AND(Skills!$B$11&lt;&gt;"",ISNUMBER(SEARCH(Skills!$B$11,AU8)))),1,0))</f>
        <v/>
      </c>
      <c r="BE8" s="23">
        <f>IF(AR8="","",IF(OR(TRIM(AL8&amp;"")&lt;&gt;"",AND(Skills!$B$12&lt;&gt;"",ISNUMBER(SEARCH(Skills!$B$12,AU8)))),1,0))</f>
        <v/>
      </c>
      <c r="BF8" s="23">
        <f>IF(AR8="","",IF(OR(TRIM(AM8&amp;"")&lt;&gt;"",AND(Skills!$B$13&lt;&gt;"",ISNUMBER(SEARCH(Skills!$B$13,AU8)))),1,0))</f>
        <v/>
      </c>
      <c r="BG8" s="23">
        <f>IF(AR8="","",IF(OR(TRIM(AN8&amp;"")&lt;&gt;"",AND(Skills!$B$14&lt;&gt;"",ISNUMBER(SEARCH(Skills!$B$14,AU8)))),1,0))</f>
        <v/>
      </c>
      <c r="BH8" s="23">
        <f>IF(AR8="","",IF(OR(TRIM(AO8&amp;"")&lt;&gt;"",AND(Skills!$B$15&lt;&gt;"",ISNUMBER(SEARCH(Skills!$B$15,AU8)))),1,0))</f>
        <v/>
      </c>
      <c r="BI8" s="23">
        <f>IF(AR8="","",IF(OR(TRIM(AP8&amp;"")&lt;&gt;"",AND(Skills!$B$16&lt;&gt;"",ISNUMBER(SEARCH(Skills!$B$16,AU8)))),1,0))</f>
        <v/>
      </c>
      <c r="BJ8" s="23">
        <f>IF(AR8="","",SUMPRODUCT($AX8:$BI8,Skills!$B$20:$M$20))</f>
        <v/>
      </c>
      <c r="BK8" s="23">
        <f>IF(AR8="","",BJ8*100000+(100000-ROW()))</f>
        <v/>
      </c>
      <c r="BL8" s="31">
        <f>IF(AR8="","",IF((IF(AND(AX8=1,Skills!$B$20=1),Skills!$B$5&amp;", ","")&amp;IF(AND(AY8=1,Skills!$C$20=1),Skills!$B$6&amp;", ","")&amp;IF(AND(AZ8=1,Skills!$D$20=1),Skills!$B$7&amp;", ","")&amp;IF(AND(BA8=1,Skills!$E$20=1),Skills!$B$8&amp;", ","")&amp;IF(AND(BB8=1,Skills!$F$20=1),Skills!$B$9&amp;", ","")&amp;IF(AND(BC8=1,Skills!$G$20=1),Skills!$B$10&amp;", ","")&amp;IF(AND(BD8=1,Skills!$H$20=1),Skills!$B$11&amp;", ","")&amp;IF(AND(BE8=1,Skills!$I$20=1),Skills!$B$12&amp;", ","")&amp;IF(AND(BF8=1,Skills!$J$20=1),Skills!$B$13&amp;", ","")&amp;IF(AND(BG8=1,Skills!$K$20=1),Skills!$B$14&amp;", ","")&amp;IF(AND(BH8=1,Skills!$L$20=1),Skills!$B$15&amp;", ","")&amp;IF(AND(BI8=1,Skills!$M$20=1),Skills!$B$16&amp;", ",""))="","",LEFT(IF(AND(AX8=1,Skills!$B$20=1),Skills!$B$5&amp;", ","")&amp;IF(AND(AY8=1,Skills!$C$20=1),Skills!$B$6&amp;", ","")&amp;IF(AND(AZ8=1,Skills!$D$20=1),Skills!$B$7&amp;", ","")&amp;IF(AND(BA8=1,Skills!$E$20=1),Skills!$B$8&amp;", ","")&amp;IF(AND(BB8=1,Skills!$F$20=1),Skills!$B$9&amp;", ","")&amp;IF(AND(BC8=1,Skills!$G$20=1),Skills!$B$10&amp;", ","")&amp;IF(AND(BD8=1,Skills!$H$20=1),Skills!$B$11&amp;", ","")&amp;IF(AND(BE8=1,Skills!$I$20=1),Skills!$B$12&amp;", ","")&amp;IF(AND(BF8=1,Skills!$J$20=1),Skills!$B$13&amp;", ","")&amp;IF(AND(BG8=1,Skills!$K$20=1),Skills!$B$14&amp;", ","")&amp;IF(AND(BH8=1,Skills!$L$20=1),Skills!$B$15&amp;", ","")&amp;IF(AND(BI8=1,Skills!$M$20=1),Skills!$B$16&amp;", ",""),LEN(IF(AND(AX8=1,Skills!$B$20=1),Skills!$B$5&amp;", ","")&amp;IF(AND(AY8=1,Skills!$C$20=1),Skills!$B$6&amp;", ","")&amp;IF(AND(AZ8=1,Skills!$D$20=1),Skills!$B$7&amp;", ","")&amp;IF(AND(BA8=1,Skills!$E$20=1),Skills!$B$8&amp;", ","")&amp;IF(AND(BB8=1,Skills!$F$20=1),Skills!$B$9&amp;", ","")&amp;IF(AND(BC8=1,Skills!$G$20=1),Skills!$B$10&amp;", ","")&amp;IF(AND(BD8=1,Skills!$H$20=1),Skills!$B$11&amp;", ","")&amp;IF(AND(BE8=1,Skills!$I$20=1),Skills!$B$12&amp;", ","")&amp;IF(AND(BF8=1,Skills!$J$20=1),Skills!$B$13&amp;", ","")&amp;IF(AND(BG8=1,Skills!$K$20=1),Skills!$B$14&amp;", ","")&amp;IF(AND(BH8=1,Skills!$L$20=1),Skills!$B$15&amp;", ","")&amp;IF(AND(BI8=1,Skills!$M$20=1),Skills!$B$16&amp;", ",""))-2)))</f>
        <v/>
      </c>
    </row>
    <row r="9">
      <c r="A9" s="30" t="inlineStr">
        <is>
          <t>EXAMPLE-08 (delete me)</t>
        </is>
      </c>
      <c r="B9" s="30" t="inlineStr">
        <is>
          <t>2026-10-09T11:18:00.000Z</t>
        </is>
      </c>
      <c r="C9" s="30" t="inlineStr">
        <is>
          <t>2026-10-09T11:13:00.000Z</t>
        </is>
      </c>
      <c r="D9" s="30" t="inlineStr">
        <is>
          <t>Nominating someone else</t>
        </is>
      </c>
      <c r="E9" s="30" t="inlineStr">
        <is>
          <t>Xavier Nominator</t>
        </is>
      </c>
      <c r="F9" s="30" t="inlineStr">
        <is>
          <t>xavier@example.com</t>
        </is>
      </c>
      <c r="G9" s="30" t="n"/>
      <c r="H9" s="30" t="inlineStr">
        <is>
          <t>annual-report</t>
        </is>
      </c>
      <c r="I9" s="30" t="inlineStr">
        <is>
          <t>Wendy Nominee</t>
        </is>
      </c>
      <c r="J9" s="30" t="inlineStr">
        <is>
          <t>wendy@example.com</t>
        </is>
      </c>
      <c r="K9" s="30" t="inlineStr">
        <is>
          <t>Example text for a nomination.</t>
        </is>
      </c>
      <c r="L9" s="30" t="inlineStr">
        <is>
          <t>Yes</t>
        </is>
      </c>
      <c r="M9" s="30" t="n"/>
      <c r="N9" s="30" t="n"/>
      <c r="O9" s="30" t="n"/>
      <c r="P9" s="30" t="n"/>
      <c r="Q9" s="30" t="n"/>
      <c r="R9" s="30" t="n"/>
      <c r="S9" s="30" t="n"/>
      <c r="T9" s="30" t="n"/>
      <c r="U9" s="30" t="n"/>
      <c r="V9" s="30" t="n"/>
      <c r="W9" s="30" t="n"/>
      <c r="X9" s="30" t="n">
        <v>1</v>
      </c>
      <c r="AD9" s="28" t="inlineStr">
        <is>
          <t>New</t>
        </is>
      </c>
      <c r="AE9" s="28" t="n"/>
      <c r="AF9" s="28" t="inlineStr">
        <is>
          <t>x</t>
        </is>
      </c>
      <c r="AG9" s="28" t="n"/>
      <c r="AH9" s="28" t="n"/>
      <c r="AI9" s="28" t="inlineStr">
        <is>
          <t>x</t>
        </is>
      </c>
      <c r="AJ9" s="28" t="n"/>
      <c r="AK9" s="28" t="n"/>
      <c r="AL9" s="28" t="n"/>
      <c r="AM9" s="28" t="n"/>
      <c r="AN9" s="28" t="n"/>
      <c r="AO9" s="28" t="n"/>
      <c r="AP9" s="28" t="n"/>
      <c r="AR9" s="31">
        <f>IF(IFERROR(TRIM(INDEX($A9:$AB9,MATCH(Lists!$B$5,$A$1:$AB$1,0))&amp;""),"")&lt;&gt;"",IFERROR(TRIM(INDEX($A9:$AB9,MATCH(Lists!$B$5,$A$1:$AB$1,0))&amp;""),""),IFERROR(TRIM(INDEX($A9:$AB9,MATCH(Lists!$B$3,$A$1:$AB$1,0))&amp;""),""))</f>
        <v/>
      </c>
      <c r="AS9" s="31">
        <f>IF(AR9="","",IF(IFERROR(TRIM(INDEX($A9:$AB9,MATCH(Lists!$B$5,$A$1:$AB$1,0))&amp;""),"")&lt;&gt;"","Nominated","Applied"))</f>
        <v/>
      </c>
      <c r="AT9" s="31">
        <f>IF(AR9="","",IF(IFERROR(TRIM(INDEX($A9:$AB9,MATCH(Lists!$B$5,$A$1:$AB$1,0))&amp;""),"")&lt;&gt;"",IFERROR(TRIM(INDEX($A9:$AB9,MATCH(Lists!$B$6,$A$1:$AB$1,0))&amp;""),""),IFERROR(TRIM(INDEX($A9:$AB9,MATCH(Lists!$B$4,$A$1:$AB$1,0))&amp;""),"")))</f>
        <v/>
      </c>
      <c r="AU9" s="31">
        <f>IF(AR9="","",IFERROR(TRIM(INDEX($A9:$AB9,MATCH(Lists!$B$7,$A$1:$AB$1,0))&amp;""),""))</f>
        <v/>
      </c>
      <c r="AV9" s="31">
        <f>IF(AR9="","",IFERROR(TRIM(INDEX($A9:$AB9,MATCH(Lists!$B$9,$A$1:$AB$1,0))&amp;""),""))</f>
        <v/>
      </c>
      <c r="AW9" s="31">
        <f>IF(AR9="","",IFERROR(TRIM(INDEX($A9:$AB9,MATCH(Lists!$B$8,$A$1:$AB$1,0))&amp;""),""))</f>
        <v/>
      </c>
      <c r="AX9" s="23">
        <f>IF(AR9="","",IF(OR(TRIM(AE9&amp;"")&lt;&gt;"",AND(Skills!$B$5&lt;&gt;"",ISNUMBER(SEARCH(Skills!$B$5,AU9)))),1,0))</f>
        <v/>
      </c>
      <c r="AY9" s="23">
        <f>IF(AR9="","",IF(OR(TRIM(AF9&amp;"")&lt;&gt;"",AND(Skills!$B$6&lt;&gt;"",ISNUMBER(SEARCH(Skills!$B$6,AU9)))),1,0))</f>
        <v/>
      </c>
      <c r="AZ9" s="23">
        <f>IF(AR9="","",IF(OR(TRIM(AG9&amp;"")&lt;&gt;"",AND(Skills!$B$7&lt;&gt;"",ISNUMBER(SEARCH(Skills!$B$7,AU9)))),1,0))</f>
        <v/>
      </c>
      <c r="BA9" s="23">
        <f>IF(AR9="","",IF(OR(TRIM(AH9&amp;"")&lt;&gt;"",AND(Skills!$B$8&lt;&gt;"",ISNUMBER(SEARCH(Skills!$B$8,AU9)))),1,0))</f>
        <v/>
      </c>
      <c r="BB9" s="23">
        <f>IF(AR9="","",IF(OR(TRIM(AI9&amp;"")&lt;&gt;"",AND(Skills!$B$9&lt;&gt;"",ISNUMBER(SEARCH(Skills!$B$9,AU9)))),1,0))</f>
        <v/>
      </c>
      <c r="BC9" s="23">
        <f>IF(AR9="","",IF(OR(TRIM(AJ9&amp;"")&lt;&gt;"",AND(Skills!$B$10&lt;&gt;"",ISNUMBER(SEARCH(Skills!$B$10,AU9)))),1,0))</f>
        <v/>
      </c>
      <c r="BD9" s="23">
        <f>IF(AR9="","",IF(OR(TRIM(AK9&amp;"")&lt;&gt;"",AND(Skills!$B$11&lt;&gt;"",ISNUMBER(SEARCH(Skills!$B$11,AU9)))),1,0))</f>
        <v/>
      </c>
      <c r="BE9" s="23">
        <f>IF(AR9="","",IF(OR(TRIM(AL9&amp;"")&lt;&gt;"",AND(Skills!$B$12&lt;&gt;"",ISNUMBER(SEARCH(Skills!$B$12,AU9)))),1,0))</f>
        <v/>
      </c>
      <c r="BF9" s="23">
        <f>IF(AR9="","",IF(OR(TRIM(AM9&amp;"")&lt;&gt;"",AND(Skills!$B$13&lt;&gt;"",ISNUMBER(SEARCH(Skills!$B$13,AU9)))),1,0))</f>
        <v/>
      </c>
      <c r="BG9" s="23">
        <f>IF(AR9="","",IF(OR(TRIM(AN9&amp;"")&lt;&gt;"",AND(Skills!$B$14&lt;&gt;"",ISNUMBER(SEARCH(Skills!$B$14,AU9)))),1,0))</f>
        <v/>
      </c>
      <c r="BH9" s="23">
        <f>IF(AR9="","",IF(OR(TRIM(AO9&amp;"")&lt;&gt;"",AND(Skills!$B$15&lt;&gt;"",ISNUMBER(SEARCH(Skills!$B$15,AU9)))),1,0))</f>
        <v/>
      </c>
      <c r="BI9" s="23">
        <f>IF(AR9="","",IF(OR(TRIM(AP9&amp;"")&lt;&gt;"",AND(Skills!$B$16&lt;&gt;"",ISNUMBER(SEARCH(Skills!$B$16,AU9)))),1,0))</f>
        <v/>
      </c>
      <c r="BJ9" s="23">
        <f>IF(AR9="","",SUMPRODUCT($AX9:$BI9,Skills!$B$20:$M$20))</f>
        <v/>
      </c>
      <c r="BK9" s="23">
        <f>IF(AR9="","",BJ9*100000+(100000-ROW()))</f>
        <v/>
      </c>
      <c r="BL9" s="31">
        <f>IF(AR9="","",IF((IF(AND(AX9=1,Skills!$B$20=1),Skills!$B$5&amp;", ","")&amp;IF(AND(AY9=1,Skills!$C$20=1),Skills!$B$6&amp;", ","")&amp;IF(AND(AZ9=1,Skills!$D$20=1),Skills!$B$7&amp;", ","")&amp;IF(AND(BA9=1,Skills!$E$20=1),Skills!$B$8&amp;", ","")&amp;IF(AND(BB9=1,Skills!$F$20=1),Skills!$B$9&amp;", ","")&amp;IF(AND(BC9=1,Skills!$G$20=1),Skills!$B$10&amp;", ","")&amp;IF(AND(BD9=1,Skills!$H$20=1),Skills!$B$11&amp;", ","")&amp;IF(AND(BE9=1,Skills!$I$20=1),Skills!$B$12&amp;", ","")&amp;IF(AND(BF9=1,Skills!$J$20=1),Skills!$B$13&amp;", ","")&amp;IF(AND(BG9=1,Skills!$K$20=1),Skills!$B$14&amp;", ","")&amp;IF(AND(BH9=1,Skills!$L$20=1),Skills!$B$15&amp;", ","")&amp;IF(AND(BI9=1,Skills!$M$20=1),Skills!$B$16&amp;", ",""))="","",LEFT(IF(AND(AX9=1,Skills!$B$20=1),Skills!$B$5&amp;", ","")&amp;IF(AND(AY9=1,Skills!$C$20=1),Skills!$B$6&amp;", ","")&amp;IF(AND(AZ9=1,Skills!$D$20=1),Skills!$B$7&amp;", ","")&amp;IF(AND(BA9=1,Skills!$E$20=1),Skills!$B$8&amp;", ","")&amp;IF(AND(BB9=1,Skills!$F$20=1),Skills!$B$9&amp;", ","")&amp;IF(AND(BC9=1,Skills!$G$20=1),Skills!$B$10&amp;", ","")&amp;IF(AND(BD9=1,Skills!$H$20=1),Skills!$B$11&amp;", ","")&amp;IF(AND(BE9=1,Skills!$I$20=1),Skills!$B$12&amp;", ","")&amp;IF(AND(BF9=1,Skills!$J$20=1),Skills!$B$13&amp;", ","")&amp;IF(AND(BG9=1,Skills!$K$20=1),Skills!$B$14&amp;", ","")&amp;IF(AND(BH9=1,Skills!$L$20=1),Skills!$B$15&amp;", ","")&amp;IF(AND(BI9=1,Skills!$M$20=1),Skills!$B$16&amp;", ",""),LEN(IF(AND(AX9=1,Skills!$B$20=1),Skills!$B$5&amp;", ","")&amp;IF(AND(AY9=1,Skills!$C$20=1),Skills!$B$6&amp;", ","")&amp;IF(AND(AZ9=1,Skills!$D$20=1),Skills!$B$7&amp;", ","")&amp;IF(AND(BA9=1,Skills!$E$20=1),Skills!$B$8&amp;", ","")&amp;IF(AND(BB9=1,Skills!$F$20=1),Skills!$B$9&amp;", ","")&amp;IF(AND(BC9=1,Skills!$G$20=1),Skills!$B$10&amp;", ","")&amp;IF(AND(BD9=1,Skills!$H$20=1),Skills!$B$11&amp;", ","")&amp;IF(AND(BE9=1,Skills!$I$20=1),Skills!$B$12&amp;", ","")&amp;IF(AND(BF9=1,Skills!$J$20=1),Skills!$B$13&amp;", ","")&amp;IF(AND(BG9=1,Skills!$K$20=1),Skills!$B$14&amp;", ","")&amp;IF(AND(BH9=1,Skills!$L$20=1),Skills!$B$15&amp;", ","")&amp;IF(AND(BI9=1,Skills!$M$20=1),Skills!$B$16&amp;", ",""))-2)))</f>
        <v/>
      </c>
    </row>
    <row r="10">
      <c r="A10" s="30" t="inlineStr">
        <is>
          <t>EXAMPLE-09 (delete me)</t>
        </is>
      </c>
      <c r="B10" s="30" t="inlineStr">
        <is>
          <t>2026-10-10T11:19:00.000Z</t>
        </is>
      </c>
      <c r="C10" s="30" t="inlineStr">
        <is>
          <t>2026-10-10T11:14:00.000Z</t>
        </is>
      </c>
      <c r="D10" s="30" t="inlineStr">
        <is>
          <t>Nominating someone else</t>
        </is>
      </c>
      <c r="E10" s="30" t="inlineStr">
        <is>
          <t>Xavier Nominator</t>
        </is>
      </c>
      <c r="F10" s="30" t="inlineStr">
        <is>
          <t>xavier@example.com</t>
        </is>
      </c>
      <c r="G10" s="30" t="n"/>
      <c r="H10" s="30" t="inlineStr">
        <is>
          <t>annual-report</t>
        </is>
      </c>
      <c r="I10" s="30" t="inlineStr">
        <is>
          <t>Yusuf Nominee</t>
        </is>
      </c>
      <c r="J10" s="30" t="inlineStr">
        <is>
          <t>yusuf@example.com</t>
        </is>
      </c>
      <c r="K10" s="30" t="inlineStr">
        <is>
          <t>Example text for a nomination.</t>
        </is>
      </c>
      <c r="L10" s="30" t="inlineStr">
        <is>
          <t>Yes</t>
        </is>
      </c>
      <c r="M10" s="30" t="n"/>
      <c r="N10" s="30" t="n"/>
      <c r="O10" s="30" t="n"/>
      <c r="P10" s="30" t="n"/>
      <c r="Q10" s="30" t="n"/>
      <c r="R10" s="30" t="n"/>
      <c r="S10" s="30" t="n"/>
      <c r="T10" s="30" t="n"/>
      <c r="U10" s="30" t="n"/>
      <c r="V10" s="30" t="n"/>
      <c r="W10" s="30" t="n"/>
      <c r="X10" s="30" t="n">
        <v>1</v>
      </c>
      <c r="AD10" s="28" t="inlineStr">
        <is>
          <t>New</t>
        </is>
      </c>
      <c r="AE10" s="28" t="n"/>
      <c r="AF10" s="28" t="n"/>
      <c r="AG10" s="28" t="n"/>
      <c r="AH10" s="28" t="inlineStr">
        <is>
          <t>x</t>
        </is>
      </c>
      <c r="AI10" s="28" t="n"/>
      <c r="AJ10" s="28" t="n"/>
      <c r="AK10" s="28" t="n"/>
      <c r="AL10" s="28" t="n"/>
      <c r="AM10" s="28" t="n"/>
      <c r="AN10" s="28" t="n"/>
      <c r="AO10" s="28" t="n"/>
      <c r="AP10" s="28" t="n"/>
      <c r="AR10" s="31">
        <f>IF(IFERROR(TRIM(INDEX($A10:$AB10,MATCH(Lists!$B$5,$A$1:$AB$1,0))&amp;""),"")&lt;&gt;"",IFERROR(TRIM(INDEX($A10:$AB10,MATCH(Lists!$B$5,$A$1:$AB$1,0))&amp;""),""),IFERROR(TRIM(INDEX($A10:$AB10,MATCH(Lists!$B$3,$A$1:$AB$1,0))&amp;""),""))</f>
        <v/>
      </c>
      <c r="AS10" s="31">
        <f>IF(AR10="","",IF(IFERROR(TRIM(INDEX($A10:$AB10,MATCH(Lists!$B$5,$A$1:$AB$1,0))&amp;""),"")&lt;&gt;"","Nominated","Applied"))</f>
        <v/>
      </c>
      <c r="AT10" s="31">
        <f>IF(AR10="","",IF(IFERROR(TRIM(INDEX($A10:$AB10,MATCH(Lists!$B$5,$A$1:$AB$1,0))&amp;""),"")&lt;&gt;"",IFERROR(TRIM(INDEX($A10:$AB10,MATCH(Lists!$B$6,$A$1:$AB$1,0))&amp;""),""),IFERROR(TRIM(INDEX($A10:$AB10,MATCH(Lists!$B$4,$A$1:$AB$1,0))&amp;""),"")))</f>
        <v/>
      </c>
      <c r="AU10" s="31">
        <f>IF(AR10="","",IFERROR(TRIM(INDEX($A10:$AB10,MATCH(Lists!$B$7,$A$1:$AB$1,0))&amp;""),""))</f>
        <v/>
      </c>
      <c r="AV10" s="31">
        <f>IF(AR10="","",IFERROR(TRIM(INDEX($A10:$AB10,MATCH(Lists!$B$9,$A$1:$AB$1,0))&amp;""),""))</f>
        <v/>
      </c>
      <c r="AW10" s="31">
        <f>IF(AR10="","",IFERROR(TRIM(INDEX($A10:$AB10,MATCH(Lists!$B$8,$A$1:$AB$1,0))&amp;""),""))</f>
        <v/>
      </c>
      <c r="AX10" s="23">
        <f>IF(AR10="","",IF(OR(TRIM(AE10&amp;"")&lt;&gt;"",AND(Skills!$B$5&lt;&gt;"",ISNUMBER(SEARCH(Skills!$B$5,AU10)))),1,0))</f>
        <v/>
      </c>
      <c r="AY10" s="23">
        <f>IF(AR10="","",IF(OR(TRIM(AF10&amp;"")&lt;&gt;"",AND(Skills!$B$6&lt;&gt;"",ISNUMBER(SEARCH(Skills!$B$6,AU10)))),1,0))</f>
        <v/>
      </c>
      <c r="AZ10" s="23">
        <f>IF(AR10="","",IF(OR(TRIM(AG10&amp;"")&lt;&gt;"",AND(Skills!$B$7&lt;&gt;"",ISNUMBER(SEARCH(Skills!$B$7,AU10)))),1,0))</f>
        <v/>
      </c>
      <c r="BA10" s="23">
        <f>IF(AR10="","",IF(OR(TRIM(AH10&amp;"")&lt;&gt;"",AND(Skills!$B$8&lt;&gt;"",ISNUMBER(SEARCH(Skills!$B$8,AU10)))),1,0))</f>
        <v/>
      </c>
      <c r="BB10" s="23">
        <f>IF(AR10="","",IF(OR(TRIM(AI10&amp;"")&lt;&gt;"",AND(Skills!$B$9&lt;&gt;"",ISNUMBER(SEARCH(Skills!$B$9,AU10)))),1,0))</f>
        <v/>
      </c>
      <c r="BC10" s="23">
        <f>IF(AR10="","",IF(OR(TRIM(AJ10&amp;"")&lt;&gt;"",AND(Skills!$B$10&lt;&gt;"",ISNUMBER(SEARCH(Skills!$B$10,AU10)))),1,0))</f>
        <v/>
      </c>
      <c r="BD10" s="23">
        <f>IF(AR10="","",IF(OR(TRIM(AK10&amp;"")&lt;&gt;"",AND(Skills!$B$11&lt;&gt;"",ISNUMBER(SEARCH(Skills!$B$11,AU10)))),1,0))</f>
        <v/>
      </c>
      <c r="BE10" s="23">
        <f>IF(AR10="","",IF(OR(TRIM(AL10&amp;"")&lt;&gt;"",AND(Skills!$B$12&lt;&gt;"",ISNUMBER(SEARCH(Skills!$B$12,AU10)))),1,0))</f>
        <v/>
      </c>
      <c r="BF10" s="23">
        <f>IF(AR10="","",IF(OR(TRIM(AM10&amp;"")&lt;&gt;"",AND(Skills!$B$13&lt;&gt;"",ISNUMBER(SEARCH(Skills!$B$13,AU10)))),1,0))</f>
        <v/>
      </c>
      <c r="BG10" s="23">
        <f>IF(AR10="","",IF(OR(TRIM(AN10&amp;"")&lt;&gt;"",AND(Skills!$B$14&lt;&gt;"",ISNUMBER(SEARCH(Skills!$B$14,AU10)))),1,0))</f>
        <v/>
      </c>
      <c r="BH10" s="23">
        <f>IF(AR10="","",IF(OR(TRIM(AO10&amp;"")&lt;&gt;"",AND(Skills!$B$15&lt;&gt;"",ISNUMBER(SEARCH(Skills!$B$15,AU10)))),1,0))</f>
        <v/>
      </c>
      <c r="BI10" s="23">
        <f>IF(AR10="","",IF(OR(TRIM(AP10&amp;"")&lt;&gt;"",AND(Skills!$B$16&lt;&gt;"",ISNUMBER(SEARCH(Skills!$B$16,AU10)))),1,0))</f>
        <v/>
      </c>
      <c r="BJ10" s="23">
        <f>IF(AR10="","",SUMPRODUCT($AX10:$BI10,Skills!$B$20:$M$20))</f>
        <v/>
      </c>
      <c r="BK10" s="23">
        <f>IF(AR10="","",BJ10*100000+(100000-ROW()))</f>
        <v/>
      </c>
      <c r="BL10" s="31">
        <f>IF(AR10="","",IF((IF(AND(AX10=1,Skills!$B$20=1),Skills!$B$5&amp;", ","")&amp;IF(AND(AY10=1,Skills!$C$20=1),Skills!$B$6&amp;", ","")&amp;IF(AND(AZ10=1,Skills!$D$20=1),Skills!$B$7&amp;", ","")&amp;IF(AND(BA10=1,Skills!$E$20=1),Skills!$B$8&amp;", ","")&amp;IF(AND(BB10=1,Skills!$F$20=1),Skills!$B$9&amp;", ","")&amp;IF(AND(BC10=1,Skills!$G$20=1),Skills!$B$10&amp;", ","")&amp;IF(AND(BD10=1,Skills!$H$20=1),Skills!$B$11&amp;", ","")&amp;IF(AND(BE10=1,Skills!$I$20=1),Skills!$B$12&amp;", ","")&amp;IF(AND(BF10=1,Skills!$J$20=1),Skills!$B$13&amp;", ","")&amp;IF(AND(BG10=1,Skills!$K$20=1),Skills!$B$14&amp;", ","")&amp;IF(AND(BH10=1,Skills!$L$20=1),Skills!$B$15&amp;", ","")&amp;IF(AND(BI10=1,Skills!$M$20=1),Skills!$B$16&amp;", ",""))="","",LEFT(IF(AND(AX10=1,Skills!$B$20=1),Skills!$B$5&amp;", ","")&amp;IF(AND(AY10=1,Skills!$C$20=1),Skills!$B$6&amp;", ","")&amp;IF(AND(AZ10=1,Skills!$D$20=1),Skills!$B$7&amp;", ","")&amp;IF(AND(BA10=1,Skills!$E$20=1),Skills!$B$8&amp;", ","")&amp;IF(AND(BB10=1,Skills!$F$20=1),Skills!$B$9&amp;", ","")&amp;IF(AND(BC10=1,Skills!$G$20=1),Skills!$B$10&amp;", ","")&amp;IF(AND(BD10=1,Skills!$H$20=1),Skills!$B$11&amp;", ","")&amp;IF(AND(BE10=1,Skills!$I$20=1),Skills!$B$12&amp;", ","")&amp;IF(AND(BF10=1,Skills!$J$20=1),Skills!$B$13&amp;", ","")&amp;IF(AND(BG10=1,Skills!$K$20=1),Skills!$B$14&amp;", ","")&amp;IF(AND(BH10=1,Skills!$L$20=1),Skills!$B$15&amp;", ","")&amp;IF(AND(BI10=1,Skills!$M$20=1),Skills!$B$16&amp;", ",""),LEN(IF(AND(AX10=1,Skills!$B$20=1),Skills!$B$5&amp;", ","")&amp;IF(AND(AY10=1,Skills!$C$20=1),Skills!$B$6&amp;", ","")&amp;IF(AND(AZ10=1,Skills!$D$20=1),Skills!$B$7&amp;", ","")&amp;IF(AND(BA10=1,Skills!$E$20=1),Skills!$B$8&amp;", ","")&amp;IF(AND(BB10=1,Skills!$F$20=1),Skills!$B$9&amp;", ","")&amp;IF(AND(BC10=1,Skills!$G$20=1),Skills!$B$10&amp;", ","")&amp;IF(AND(BD10=1,Skills!$H$20=1),Skills!$B$11&amp;", ","")&amp;IF(AND(BE10=1,Skills!$I$20=1),Skills!$B$12&amp;", ","")&amp;IF(AND(BF10=1,Skills!$J$20=1),Skills!$B$13&amp;", ","")&amp;IF(AND(BG10=1,Skills!$K$20=1),Skills!$B$14&amp;", ","")&amp;IF(AND(BH10=1,Skills!$L$20=1),Skills!$B$15&amp;", ","")&amp;IF(AND(BI10=1,Skills!$M$20=1),Skills!$B$16&amp;", ",""))-2)))</f>
        <v/>
      </c>
    </row>
    <row r="11">
      <c r="A11" s="30" t="inlineStr">
        <is>
          <t>EXAMPLE-10 (delete me)</t>
        </is>
      </c>
      <c r="B11" s="30" t="inlineStr">
        <is>
          <t>2026-10-11T11:20:00.000Z</t>
        </is>
      </c>
      <c r="C11" s="30" t="inlineStr">
        <is>
          <t>2026-10-11T11:15:00.000Z</t>
        </is>
      </c>
      <c r="D11" s="30" t="inlineStr">
        <is>
          <t>Nominating someone else</t>
        </is>
      </c>
      <c r="E11" s="30" t="inlineStr">
        <is>
          <t>Alma Nominator</t>
        </is>
      </c>
      <c r="F11" s="30" t="inlineStr">
        <is>
          <t>alma@example.com</t>
        </is>
      </c>
      <c r="G11" s="30" t="n"/>
      <c r="H11" s="30" t="inlineStr">
        <is>
          <t>annual-report</t>
        </is>
      </c>
      <c r="I11" s="30" t="inlineStr">
        <is>
          <t>Zoe Nominee</t>
        </is>
      </c>
      <c r="J11" s="30" t="inlineStr">
        <is>
          <t>zoe@example.com</t>
        </is>
      </c>
      <c r="K11" s="30" t="inlineStr">
        <is>
          <t>Example text for a nomination.</t>
        </is>
      </c>
      <c r="L11" s="30" t="inlineStr">
        <is>
          <t>Yes</t>
        </is>
      </c>
      <c r="M11" s="30" t="n"/>
      <c r="N11" s="30" t="n"/>
      <c r="O11" s="30" t="n"/>
      <c r="P11" s="30" t="n"/>
      <c r="Q11" s="30" t="n"/>
      <c r="R11" s="30" t="n"/>
      <c r="S11" s="30" t="n"/>
      <c r="T11" s="30" t="n"/>
      <c r="U11" s="30" t="n"/>
      <c r="V11" s="30" t="n"/>
      <c r="W11" s="30" t="n"/>
      <c r="X11" s="30" t="n">
        <v>1</v>
      </c>
      <c r="AD11" s="28" t="inlineStr">
        <is>
          <t>New</t>
        </is>
      </c>
      <c r="AE11" s="28" t="n"/>
      <c r="AF11" s="28" t="n"/>
      <c r="AG11" s="28" t="n"/>
      <c r="AH11" s="28" t="n"/>
      <c r="AI11" s="28" t="n"/>
      <c r="AJ11" s="28" t="n"/>
      <c r="AK11" s="28" t="n"/>
      <c r="AL11" s="28" t="n"/>
      <c r="AM11" s="28" t="n"/>
      <c r="AN11" s="28" t="n"/>
      <c r="AO11" s="28" t="n"/>
      <c r="AP11" s="28" t="n"/>
      <c r="AR11" s="31">
        <f>IF(IFERROR(TRIM(INDEX($A11:$AB11,MATCH(Lists!$B$5,$A$1:$AB$1,0))&amp;""),"")&lt;&gt;"",IFERROR(TRIM(INDEX($A11:$AB11,MATCH(Lists!$B$5,$A$1:$AB$1,0))&amp;""),""),IFERROR(TRIM(INDEX($A11:$AB11,MATCH(Lists!$B$3,$A$1:$AB$1,0))&amp;""),""))</f>
        <v/>
      </c>
      <c r="AS11" s="31">
        <f>IF(AR11="","",IF(IFERROR(TRIM(INDEX($A11:$AB11,MATCH(Lists!$B$5,$A$1:$AB$1,0))&amp;""),"")&lt;&gt;"","Nominated","Applied"))</f>
        <v/>
      </c>
      <c r="AT11" s="31">
        <f>IF(AR11="","",IF(IFERROR(TRIM(INDEX($A11:$AB11,MATCH(Lists!$B$5,$A$1:$AB$1,0))&amp;""),"")&lt;&gt;"",IFERROR(TRIM(INDEX($A11:$AB11,MATCH(Lists!$B$6,$A$1:$AB$1,0))&amp;""),""),IFERROR(TRIM(INDEX($A11:$AB11,MATCH(Lists!$B$4,$A$1:$AB$1,0))&amp;""),"")))</f>
        <v/>
      </c>
      <c r="AU11" s="31">
        <f>IF(AR11="","",IFERROR(TRIM(INDEX($A11:$AB11,MATCH(Lists!$B$7,$A$1:$AB$1,0))&amp;""),""))</f>
        <v/>
      </c>
      <c r="AV11" s="31">
        <f>IF(AR11="","",IFERROR(TRIM(INDEX($A11:$AB11,MATCH(Lists!$B$9,$A$1:$AB$1,0))&amp;""),""))</f>
        <v/>
      </c>
      <c r="AW11" s="31">
        <f>IF(AR11="","",IFERROR(TRIM(INDEX($A11:$AB11,MATCH(Lists!$B$8,$A$1:$AB$1,0))&amp;""),""))</f>
        <v/>
      </c>
      <c r="AX11" s="23">
        <f>IF(AR11="","",IF(OR(TRIM(AE11&amp;"")&lt;&gt;"",AND(Skills!$B$5&lt;&gt;"",ISNUMBER(SEARCH(Skills!$B$5,AU11)))),1,0))</f>
        <v/>
      </c>
      <c r="AY11" s="23">
        <f>IF(AR11="","",IF(OR(TRIM(AF11&amp;"")&lt;&gt;"",AND(Skills!$B$6&lt;&gt;"",ISNUMBER(SEARCH(Skills!$B$6,AU11)))),1,0))</f>
        <v/>
      </c>
      <c r="AZ11" s="23">
        <f>IF(AR11="","",IF(OR(TRIM(AG11&amp;"")&lt;&gt;"",AND(Skills!$B$7&lt;&gt;"",ISNUMBER(SEARCH(Skills!$B$7,AU11)))),1,0))</f>
        <v/>
      </c>
      <c r="BA11" s="23">
        <f>IF(AR11="","",IF(OR(TRIM(AH11&amp;"")&lt;&gt;"",AND(Skills!$B$8&lt;&gt;"",ISNUMBER(SEARCH(Skills!$B$8,AU11)))),1,0))</f>
        <v/>
      </c>
      <c r="BB11" s="23">
        <f>IF(AR11="","",IF(OR(TRIM(AI11&amp;"")&lt;&gt;"",AND(Skills!$B$9&lt;&gt;"",ISNUMBER(SEARCH(Skills!$B$9,AU11)))),1,0))</f>
        <v/>
      </c>
      <c r="BC11" s="23">
        <f>IF(AR11="","",IF(OR(TRIM(AJ11&amp;"")&lt;&gt;"",AND(Skills!$B$10&lt;&gt;"",ISNUMBER(SEARCH(Skills!$B$10,AU11)))),1,0))</f>
        <v/>
      </c>
      <c r="BD11" s="23">
        <f>IF(AR11="","",IF(OR(TRIM(AK11&amp;"")&lt;&gt;"",AND(Skills!$B$11&lt;&gt;"",ISNUMBER(SEARCH(Skills!$B$11,AU11)))),1,0))</f>
        <v/>
      </c>
      <c r="BE11" s="23">
        <f>IF(AR11="","",IF(OR(TRIM(AL11&amp;"")&lt;&gt;"",AND(Skills!$B$12&lt;&gt;"",ISNUMBER(SEARCH(Skills!$B$12,AU11)))),1,0))</f>
        <v/>
      </c>
      <c r="BF11" s="23">
        <f>IF(AR11="","",IF(OR(TRIM(AM11&amp;"")&lt;&gt;"",AND(Skills!$B$13&lt;&gt;"",ISNUMBER(SEARCH(Skills!$B$13,AU11)))),1,0))</f>
        <v/>
      </c>
      <c r="BG11" s="23">
        <f>IF(AR11="","",IF(OR(TRIM(AN11&amp;"")&lt;&gt;"",AND(Skills!$B$14&lt;&gt;"",ISNUMBER(SEARCH(Skills!$B$14,AU11)))),1,0))</f>
        <v/>
      </c>
      <c r="BH11" s="23">
        <f>IF(AR11="","",IF(OR(TRIM(AO11&amp;"")&lt;&gt;"",AND(Skills!$B$15&lt;&gt;"",ISNUMBER(SEARCH(Skills!$B$15,AU11)))),1,0))</f>
        <v/>
      </c>
      <c r="BI11" s="23">
        <f>IF(AR11="","",IF(OR(TRIM(AP11&amp;"")&lt;&gt;"",AND(Skills!$B$16&lt;&gt;"",ISNUMBER(SEARCH(Skills!$B$16,AU11)))),1,0))</f>
        <v/>
      </c>
      <c r="BJ11" s="23">
        <f>IF(AR11="","",SUMPRODUCT($AX11:$BI11,Skills!$B$20:$M$20))</f>
        <v/>
      </c>
      <c r="BK11" s="23">
        <f>IF(AR11="","",BJ11*100000+(100000-ROW()))</f>
        <v/>
      </c>
      <c r="BL11" s="31">
        <f>IF(AR11="","",IF((IF(AND(AX11=1,Skills!$B$20=1),Skills!$B$5&amp;", ","")&amp;IF(AND(AY11=1,Skills!$C$20=1),Skills!$B$6&amp;", ","")&amp;IF(AND(AZ11=1,Skills!$D$20=1),Skills!$B$7&amp;", ","")&amp;IF(AND(BA11=1,Skills!$E$20=1),Skills!$B$8&amp;", ","")&amp;IF(AND(BB11=1,Skills!$F$20=1),Skills!$B$9&amp;", ","")&amp;IF(AND(BC11=1,Skills!$G$20=1),Skills!$B$10&amp;", ","")&amp;IF(AND(BD11=1,Skills!$H$20=1),Skills!$B$11&amp;", ","")&amp;IF(AND(BE11=1,Skills!$I$20=1),Skills!$B$12&amp;", ","")&amp;IF(AND(BF11=1,Skills!$J$20=1),Skills!$B$13&amp;", ","")&amp;IF(AND(BG11=1,Skills!$K$20=1),Skills!$B$14&amp;", ","")&amp;IF(AND(BH11=1,Skills!$L$20=1),Skills!$B$15&amp;", ","")&amp;IF(AND(BI11=1,Skills!$M$20=1),Skills!$B$16&amp;", ",""))="","",LEFT(IF(AND(AX11=1,Skills!$B$20=1),Skills!$B$5&amp;", ","")&amp;IF(AND(AY11=1,Skills!$C$20=1),Skills!$B$6&amp;", ","")&amp;IF(AND(AZ11=1,Skills!$D$20=1),Skills!$B$7&amp;", ","")&amp;IF(AND(BA11=1,Skills!$E$20=1),Skills!$B$8&amp;", ","")&amp;IF(AND(BB11=1,Skills!$F$20=1),Skills!$B$9&amp;", ","")&amp;IF(AND(BC11=1,Skills!$G$20=1),Skills!$B$10&amp;", ","")&amp;IF(AND(BD11=1,Skills!$H$20=1),Skills!$B$11&amp;", ","")&amp;IF(AND(BE11=1,Skills!$I$20=1),Skills!$B$12&amp;", ","")&amp;IF(AND(BF11=1,Skills!$J$20=1),Skills!$B$13&amp;", ","")&amp;IF(AND(BG11=1,Skills!$K$20=1),Skills!$B$14&amp;", ","")&amp;IF(AND(BH11=1,Skills!$L$20=1),Skills!$B$15&amp;", ","")&amp;IF(AND(BI11=1,Skills!$M$20=1),Skills!$B$16&amp;", ",""),LEN(IF(AND(AX11=1,Skills!$B$20=1),Skills!$B$5&amp;", ","")&amp;IF(AND(AY11=1,Skills!$C$20=1),Skills!$B$6&amp;", ","")&amp;IF(AND(AZ11=1,Skills!$D$20=1),Skills!$B$7&amp;", ","")&amp;IF(AND(BA11=1,Skills!$E$20=1),Skills!$B$8&amp;", ","")&amp;IF(AND(BB11=1,Skills!$F$20=1),Skills!$B$9&amp;", ","")&amp;IF(AND(BC11=1,Skills!$G$20=1),Skills!$B$10&amp;", ","")&amp;IF(AND(BD11=1,Skills!$H$20=1),Skills!$B$11&amp;", ","")&amp;IF(AND(BE11=1,Skills!$I$20=1),Skills!$B$12&amp;", ","")&amp;IF(AND(BF11=1,Skills!$J$20=1),Skills!$B$13&amp;", ","")&amp;IF(AND(BG11=1,Skills!$K$20=1),Skills!$B$14&amp;", ","")&amp;IF(AND(BH11=1,Skills!$L$20=1),Skills!$B$15&amp;", ","")&amp;IF(AND(BI11=1,Skills!$M$20=1),Skills!$B$16&amp;", ",""))-2)))</f>
        <v/>
      </c>
    </row>
    <row r="12">
      <c r="AD12" s="20" t="n"/>
      <c r="AE12" s="20" t="n"/>
      <c r="AF12" s="20" t="n"/>
      <c r="AG12" s="20" t="n"/>
      <c r="AH12" s="20" t="n"/>
      <c r="AI12" s="20" t="n"/>
      <c r="AJ12" s="20" t="n"/>
      <c r="AK12" s="20" t="n"/>
      <c r="AL12" s="20" t="n"/>
      <c r="AM12" s="20" t="n"/>
      <c r="AN12" s="20" t="n"/>
      <c r="AO12" s="20" t="n"/>
      <c r="AP12" s="20" t="n"/>
      <c r="AR12" s="31">
        <f>IF(IFERROR(TRIM(INDEX($A12:$AB12,MATCH(Lists!$B$5,$A$1:$AB$1,0))&amp;""),"")&lt;&gt;"",IFERROR(TRIM(INDEX($A12:$AB12,MATCH(Lists!$B$5,$A$1:$AB$1,0))&amp;""),""),IFERROR(TRIM(INDEX($A12:$AB12,MATCH(Lists!$B$3,$A$1:$AB$1,0))&amp;""),""))</f>
        <v/>
      </c>
      <c r="AS12" s="31">
        <f>IF(AR12="","",IF(IFERROR(TRIM(INDEX($A12:$AB12,MATCH(Lists!$B$5,$A$1:$AB$1,0))&amp;""),"")&lt;&gt;"","Nominated","Applied"))</f>
        <v/>
      </c>
      <c r="AT12" s="31">
        <f>IF(AR12="","",IF(IFERROR(TRIM(INDEX($A12:$AB12,MATCH(Lists!$B$5,$A$1:$AB$1,0))&amp;""),"")&lt;&gt;"",IFERROR(TRIM(INDEX($A12:$AB12,MATCH(Lists!$B$6,$A$1:$AB$1,0))&amp;""),""),IFERROR(TRIM(INDEX($A12:$AB12,MATCH(Lists!$B$4,$A$1:$AB$1,0))&amp;""),"")))</f>
        <v/>
      </c>
      <c r="AU12" s="31">
        <f>IF(AR12="","",IFERROR(TRIM(INDEX($A12:$AB12,MATCH(Lists!$B$7,$A$1:$AB$1,0))&amp;""),""))</f>
        <v/>
      </c>
      <c r="AV12" s="31">
        <f>IF(AR12="","",IFERROR(TRIM(INDEX($A12:$AB12,MATCH(Lists!$B$9,$A$1:$AB$1,0))&amp;""),""))</f>
        <v/>
      </c>
      <c r="AW12" s="31">
        <f>IF(AR12="","",IFERROR(TRIM(INDEX($A12:$AB12,MATCH(Lists!$B$8,$A$1:$AB$1,0))&amp;""),""))</f>
        <v/>
      </c>
      <c r="AX12" s="23">
        <f>IF(AR12="","",IF(OR(TRIM(AE12&amp;"")&lt;&gt;"",AND(Skills!$B$5&lt;&gt;"",ISNUMBER(SEARCH(Skills!$B$5,AU12)))),1,0))</f>
        <v/>
      </c>
      <c r="AY12" s="23">
        <f>IF(AR12="","",IF(OR(TRIM(AF12&amp;"")&lt;&gt;"",AND(Skills!$B$6&lt;&gt;"",ISNUMBER(SEARCH(Skills!$B$6,AU12)))),1,0))</f>
        <v/>
      </c>
      <c r="AZ12" s="23">
        <f>IF(AR12="","",IF(OR(TRIM(AG12&amp;"")&lt;&gt;"",AND(Skills!$B$7&lt;&gt;"",ISNUMBER(SEARCH(Skills!$B$7,AU12)))),1,0))</f>
        <v/>
      </c>
      <c r="BA12" s="23">
        <f>IF(AR12="","",IF(OR(TRIM(AH12&amp;"")&lt;&gt;"",AND(Skills!$B$8&lt;&gt;"",ISNUMBER(SEARCH(Skills!$B$8,AU12)))),1,0))</f>
        <v/>
      </c>
      <c r="BB12" s="23">
        <f>IF(AR12="","",IF(OR(TRIM(AI12&amp;"")&lt;&gt;"",AND(Skills!$B$9&lt;&gt;"",ISNUMBER(SEARCH(Skills!$B$9,AU12)))),1,0))</f>
        <v/>
      </c>
      <c r="BC12" s="23">
        <f>IF(AR12="","",IF(OR(TRIM(AJ12&amp;"")&lt;&gt;"",AND(Skills!$B$10&lt;&gt;"",ISNUMBER(SEARCH(Skills!$B$10,AU12)))),1,0))</f>
        <v/>
      </c>
      <c r="BD12" s="23">
        <f>IF(AR12="","",IF(OR(TRIM(AK12&amp;"")&lt;&gt;"",AND(Skills!$B$11&lt;&gt;"",ISNUMBER(SEARCH(Skills!$B$11,AU12)))),1,0))</f>
        <v/>
      </c>
      <c r="BE12" s="23">
        <f>IF(AR12="","",IF(OR(TRIM(AL12&amp;"")&lt;&gt;"",AND(Skills!$B$12&lt;&gt;"",ISNUMBER(SEARCH(Skills!$B$12,AU12)))),1,0))</f>
        <v/>
      </c>
      <c r="BF12" s="23">
        <f>IF(AR12="","",IF(OR(TRIM(AM12&amp;"")&lt;&gt;"",AND(Skills!$B$13&lt;&gt;"",ISNUMBER(SEARCH(Skills!$B$13,AU12)))),1,0))</f>
        <v/>
      </c>
      <c r="BG12" s="23">
        <f>IF(AR12="","",IF(OR(TRIM(AN12&amp;"")&lt;&gt;"",AND(Skills!$B$14&lt;&gt;"",ISNUMBER(SEARCH(Skills!$B$14,AU12)))),1,0))</f>
        <v/>
      </c>
      <c r="BH12" s="23">
        <f>IF(AR12="","",IF(OR(TRIM(AO12&amp;"")&lt;&gt;"",AND(Skills!$B$15&lt;&gt;"",ISNUMBER(SEARCH(Skills!$B$15,AU12)))),1,0))</f>
        <v/>
      </c>
      <c r="BI12" s="23">
        <f>IF(AR12="","",IF(OR(TRIM(AP12&amp;"")&lt;&gt;"",AND(Skills!$B$16&lt;&gt;"",ISNUMBER(SEARCH(Skills!$B$16,AU12)))),1,0))</f>
        <v/>
      </c>
      <c r="BJ12" s="23">
        <f>IF(AR12="","",SUMPRODUCT($AX12:$BI12,Skills!$B$20:$M$20))</f>
        <v/>
      </c>
      <c r="BK12" s="23">
        <f>IF(AR12="","",BJ12*100000+(100000-ROW()))</f>
        <v/>
      </c>
      <c r="BL12" s="31">
        <f>IF(AR12="","",IF((IF(AND(AX12=1,Skills!$B$20=1),Skills!$B$5&amp;", ","")&amp;IF(AND(AY12=1,Skills!$C$20=1),Skills!$B$6&amp;", ","")&amp;IF(AND(AZ12=1,Skills!$D$20=1),Skills!$B$7&amp;", ","")&amp;IF(AND(BA12=1,Skills!$E$20=1),Skills!$B$8&amp;", ","")&amp;IF(AND(BB12=1,Skills!$F$20=1),Skills!$B$9&amp;", ","")&amp;IF(AND(BC12=1,Skills!$G$20=1),Skills!$B$10&amp;", ","")&amp;IF(AND(BD12=1,Skills!$H$20=1),Skills!$B$11&amp;", ","")&amp;IF(AND(BE12=1,Skills!$I$20=1),Skills!$B$12&amp;", ","")&amp;IF(AND(BF12=1,Skills!$J$20=1),Skills!$B$13&amp;", ","")&amp;IF(AND(BG12=1,Skills!$K$20=1),Skills!$B$14&amp;", ","")&amp;IF(AND(BH12=1,Skills!$L$20=1),Skills!$B$15&amp;", ","")&amp;IF(AND(BI12=1,Skills!$M$20=1),Skills!$B$16&amp;", ",""))="","",LEFT(IF(AND(AX12=1,Skills!$B$20=1),Skills!$B$5&amp;", ","")&amp;IF(AND(AY12=1,Skills!$C$20=1),Skills!$B$6&amp;", ","")&amp;IF(AND(AZ12=1,Skills!$D$20=1),Skills!$B$7&amp;", ","")&amp;IF(AND(BA12=1,Skills!$E$20=1),Skills!$B$8&amp;", ","")&amp;IF(AND(BB12=1,Skills!$F$20=1),Skills!$B$9&amp;", ","")&amp;IF(AND(BC12=1,Skills!$G$20=1),Skills!$B$10&amp;", ","")&amp;IF(AND(BD12=1,Skills!$H$20=1),Skills!$B$11&amp;", ","")&amp;IF(AND(BE12=1,Skills!$I$20=1),Skills!$B$12&amp;", ","")&amp;IF(AND(BF12=1,Skills!$J$20=1),Skills!$B$13&amp;", ","")&amp;IF(AND(BG12=1,Skills!$K$20=1),Skills!$B$14&amp;", ","")&amp;IF(AND(BH12=1,Skills!$L$20=1),Skills!$B$15&amp;", ","")&amp;IF(AND(BI12=1,Skills!$M$20=1),Skills!$B$16&amp;", ",""),LEN(IF(AND(AX12=1,Skills!$B$20=1),Skills!$B$5&amp;", ","")&amp;IF(AND(AY12=1,Skills!$C$20=1),Skills!$B$6&amp;", ","")&amp;IF(AND(AZ12=1,Skills!$D$20=1),Skills!$B$7&amp;", ","")&amp;IF(AND(BA12=1,Skills!$E$20=1),Skills!$B$8&amp;", ","")&amp;IF(AND(BB12=1,Skills!$F$20=1),Skills!$B$9&amp;", ","")&amp;IF(AND(BC12=1,Skills!$G$20=1),Skills!$B$10&amp;", ","")&amp;IF(AND(BD12=1,Skills!$H$20=1),Skills!$B$11&amp;", ","")&amp;IF(AND(BE12=1,Skills!$I$20=1),Skills!$B$12&amp;", ","")&amp;IF(AND(BF12=1,Skills!$J$20=1),Skills!$B$13&amp;", ","")&amp;IF(AND(BG12=1,Skills!$K$20=1),Skills!$B$14&amp;", ","")&amp;IF(AND(BH12=1,Skills!$L$20=1),Skills!$B$15&amp;", ","")&amp;IF(AND(BI12=1,Skills!$M$20=1),Skills!$B$16&amp;", ",""))-2)))</f>
        <v/>
      </c>
    </row>
    <row r="13">
      <c r="AD13" s="20" t="n"/>
      <c r="AE13" s="20" t="n"/>
      <c r="AF13" s="20" t="n"/>
      <c r="AG13" s="20" t="n"/>
      <c r="AH13" s="20" t="n"/>
      <c r="AI13" s="20" t="n"/>
      <c r="AJ13" s="20" t="n"/>
      <c r="AK13" s="20" t="n"/>
      <c r="AL13" s="20" t="n"/>
      <c r="AM13" s="20" t="n"/>
      <c r="AN13" s="20" t="n"/>
      <c r="AO13" s="20" t="n"/>
      <c r="AP13" s="20" t="n"/>
      <c r="AR13" s="31">
        <f>IF(IFERROR(TRIM(INDEX($A13:$AB13,MATCH(Lists!$B$5,$A$1:$AB$1,0))&amp;""),"")&lt;&gt;"",IFERROR(TRIM(INDEX($A13:$AB13,MATCH(Lists!$B$5,$A$1:$AB$1,0))&amp;""),""),IFERROR(TRIM(INDEX($A13:$AB13,MATCH(Lists!$B$3,$A$1:$AB$1,0))&amp;""),""))</f>
        <v/>
      </c>
      <c r="AS13" s="31">
        <f>IF(AR13="","",IF(IFERROR(TRIM(INDEX($A13:$AB13,MATCH(Lists!$B$5,$A$1:$AB$1,0))&amp;""),"")&lt;&gt;"","Nominated","Applied"))</f>
        <v/>
      </c>
      <c r="AT13" s="31">
        <f>IF(AR13="","",IF(IFERROR(TRIM(INDEX($A13:$AB13,MATCH(Lists!$B$5,$A$1:$AB$1,0))&amp;""),"")&lt;&gt;"",IFERROR(TRIM(INDEX($A13:$AB13,MATCH(Lists!$B$6,$A$1:$AB$1,0))&amp;""),""),IFERROR(TRIM(INDEX($A13:$AB13,MATCH(Lists!$B$4,$A$1:$AB$1,0))&amp;""),"")))</f>
        <v/>
      </c>
      <c r="AU13" s="31">
        <f>IF(AR13="","",IFERROR(TRIM(INDEX($A13:$AB13,MATCH(Lists!$B$7,$A$1:$AB$1,0))&amp;""),""))</f>
        <v/>
      </c>
      <c r="AV13" s="31">
        <f>IF(AR13="","",IFERROR(TRIM(INDEX($A13:$AB13,MATCH(Lists!$B$9,$A$1:$AB$1,0))&amp;""),""))</f>
        <v/>
      </c>
      <c r="AW13" s="31">
        <f>IF(AR13="","",IFERROR(TRIM(INDEX($A13:$AB13,MATCH(Lists!$B$8,$A$1:$AB$1,0))&amp;""),""))</f>
        <v/>
      </c>
      <c r="AX13" s="23">
        <f>IF(AR13="","",IF(OR(TRIM(AE13&amp;"")&lt;&gt;"",AND(Skills!$B$5&lt;&gt;"",ISNUMBER(SEARCH(Skills!$B$5,AU13)))),1,0))</f>
        <v/>
      </c>
      <c r="AY13" s="23">
        <f>IF(AR13="","",IF(OR(TRIM(AF13&amp;"")&lt;&gt;"",AND(Skills!$B$6&lt;&gt;"",ISNUMBER(SEARCH(Skills!$B$6,AU13)))),1,0))</f>
        <v/>
      </c>
      <c r="AZ13" s="23">
        <f>IF(AR13="","",IF(OR(TRIM(AG13&amp;"")&lt;&gt;"",AND(Skills!$B$7&lt;&gt;"",ISNUMBER(SEARCH(Skills!$B$7,AU13)))),1,0))</f>
        <v/>
      </c>
      <c r="BA13" s="23">
        <f>IF(AR13="","",IF(OR(TRIM(AH13&amp;"")&lt;&gt;"",AND(Skills!$B$8&lt;&gt;"",ISNUMBER(SEARCH(Skills!$B$8,AU13)))),1,0))</f>
        <v/>
      </c>
      <c r="BB13" s="23">
        <f>IF(AR13="","",IF(OR(TRIM(AI13&amp;"")&lt;&gt;"",AND(Skills!$B$9&lt;&gt;"",ISNUMBER(SEARCH(Skills!$B$9,AU13)))),1,0))</f>
        <v/>
      </c>
      <c r="BC13" s="23">
        <f>IF(AR13="","",IF(OR(TRIM(AJ13&amp;"")&lt;&gt;"",AND(Skills!$B$10&lt;&gt;"",ISNUMBER(SEARCH(Skills!$B$10,AU13)))),1,0))</f>
        <v/>
      </c>
      <c r="BD13" s="23">
        <f>IF(AR13="","",IF(OR(TRIM(AK13&amp;"")&lt;&gt;"",AND(Skills!$B$11&lt;&gt;"",ISNUMBER(SEARCH(Skills!$B$11,AU13)))),1,0))</f>
        <v/>
      </c>
      <c r="BE13" s="23">
        <f>IF(AR13="","",IF(OR(TRIM(AL13&amp;"")&lt;&gt;"",AND(Skills!$B$12&lt;&gt;"",ISNUMBER(SEARCH(Skills!$B$12,AU13)))),1,0))</f>
        <v/>
      </c>
      <c r="BF13" s="23">
        <f>IF(AR13="","",IF(OR(TRIM(AM13&amp;"")&lt;&gt;"",AND(Skills!$B$13&lt;&gt;"",ISNUMBER(SEARCH(Skills!$B$13,AU13)))),1,0))</f>
        <v/>
      </c>
      <c r="BG13" s="23">
        <f>IF(AR13="","",IF(OR(TRIM(AN13&amp;"")&lt;&gt;"",AND(Skills!$B$14&lt;&gt;"",ISNUMBER(SEARCH(Skills!$B$14,AU13)))),1,0))</f>
        <v/>
      </c>
      <c r="BH13" s="23">
        <f>IF(AR13="","",IF(OR(TRIM(AO13&amp;"")&lt;&gt;"",AND(Skills!$B$15&lt;&gt;"",ISNUMBER(SEARCH(Skills!$B$15,AU13)))),1,0))</f>
        <v/>
      </c>
      <c r="BI13" s="23">
        <f>IF(AR13="","",IF(OR(TRIM(AP13&amp;"")&lt;&gt;"",AND(Skills!$B$16&lt;&gt;"",ISNUMBER(SEARCH(Skills!$B$16,AU13)))),1,0))</f>
        <v/>
      </c>
      <c r="BJ13" s="23">
        <f>IF(AR13="","",SUMPRODUCT($AX13:$BI13,Skills!$B$20:$M$20))</f>
        <v/>
      </c>
      <c r="BK13" s="23">
        <f>IF(AR13="","",BJ13*100000+(100000-ROW()))</f>
        <v/>
      </c>
      <c r="BL13" s="31">
        <f>IF(AR13="","",IF((IF(AND(AX13=1,Skills!$B$20=1),Skills!$B$5&amp;", ","")&amp;IF(AND(AY13=1,Skills!$C$20=1),Skills!$B$6&amp;", ","")&amp;IF(AND(AZ13=1,Skills!$D$20=1),Skills!$B$7&amp;", ","")&amp;IF(AND(BA13=1,Skills!$E$20=1),Skills!$B$8&amp;", ","")&amp;IF(AND(BB13=1,Skills!$F$20=1),Skills!$B$9&amp;", ","")&amp;IF(AND(BC13=1,Skills!$G$20=1),Skills!$B$10&amp;", ","")&amp;IF(AND(BD13=1,Skills!$H$20=1),Skills!$B$11&amp;", ","")&amp;IF(AND(BE13=1,Skills!$I$20=1),Skills!$B$12&amp;", ","")&amp;IF(AND(BF13=1,Skills!$J$20=1),Skills!$B$13&amp;", ","")&amp;IF(AND(BG13=1,Skills!$K$20=1),Skills!$B$14&amp;", ","")&amp;IF(AND(BH13=1,Skills!$L$20=1),Skills!$B$15&amp;", ","")&amp;IF(AND(BI13=1,Skills!$M$20=1),Skills!$B$16&amp;", ",""))="","",LEFT(IF(AND(AX13=1,Skills!$B$20=1),Skills!$B$5&amp;", ","")&amp;IF(AND(AY13=1,Skills!$C$20=1),Skills!$B$6&amp;", ","")&amp;IF(AND(AZ13=1,Skills!$D$20=1),Skills!$B$7&amp;", ","")&amp;IF(AND(BA13=1,Skills!$E$20=1),Skills!$B$8&amp;", ","")&amp;IF(AND(BB13=1,Skills!$F$20=1),Skills!$B$9&amp;", ","")&amp;IF(AND(BC13=1,Skills!$G$20=1),Skills!$B$10&amp;", ","")&amp;IF(AND(BD13=1,Skills!$H$20=1),Skills!$B$11&amp;", ","")&amp;IF(AND(BE13=1,Skills!$I$20=1),Skills!$B$12&amp;", ","")&amp;IF(AND(BF13=1,Skills!$J$20=1),Skills!$B$13&amp;", ","")&amp;IF(AND(BG13=1,Skills!$K$20=1),Skills!$B$14&amp;", ","")&amp;IF(AND(BH13=1,Skills!$L$20=1),Skills!$B$15&amp;", ","")&amp;IF(AND(BI13=1,Skills!$M$20=1),Skills!$B$16&amp;", ",""),LEN(IF(AND(AX13=1,Skills!$B$20=1),Skills!$B$5&amp;", ","")&amp;IF(AND(AY13=1,Skills!$C$20=1),Skills!$B$6&amp;", ","")&amp;IF(AND(AZ13=1,Skills!$D$20=1),Skills!$B$7&amp;", ","")&amp;IF(AND(BA13=1,Skills!$E$20=1),Skills!$B$8&amp;", ","")&amp;IF(AND(BB13=1,Skills!$F$20=1),Skills!$B$9&amp;", ","")&amp;IF(AND(BC13=1,Skills!$G$20=1),Skills!$B$10&amp;", ","")&amp;IF(AND(BD13=1,Skills!$H$20=1),Skills!$B$11&amp;", ","")&amp;IF(AND(BE13=1,Skills!$I$20=1),Skills!$B$12&amp;", ","")&amp;IF(AND(BF13=1,Skills!$J$20=1),Skills!$B$13&amp;", ","")&amp;IF(AND(BG13=1,Skills!$K$20=1),Skills!$B$14&amp;", ","")&amp;IF(AND(BH13=1,Skills!$L$20=1),Skills!$B$15&amp;", ","")&amp;IF(AND(BI13=1,Skills!$M$20=1),Skills!$B$16&amp;", ",""))-2)))</f>
        <v/>
      </c>
    </row>
    <row r="14">
      <c r="AD14" s="20" t="n"/>
      <c r="AE14" s="20" t="n"/>
      <c r="AF14" s="20" t="n"/>
      <c r="AG14" s="20" t="n"/>
      <c r="AH14" s="20" t="n"/>
      <c r="AI14" s="20" t="n"/>
      <c r="AJ14" s="20" t="n"/>
      <c r="AK14" s="20" t="n"/>
      <c r="AL14" s="20" t="n"/>
      <c r="AM14" s="20" t="n"/>
      <c r="AN14" s="20" t="n"/>
      <c r="AO14" s="20" t="n"/>
      <c r="AP14" s="20" t="n"/>
      <c r="AR14" s="31">
        <f>IF(IFERROR(TRIM(INDEX($A14:$AB14,MATCH(Lists!$B$5,$A$1:$AB$1,0))&amp;""),"")&lt;&gt;"",IFERROR(TRIM(INDEX($A14:$AB14,MATCH(Lists!$B$5,$A$1:$AB$1,0))&amp;""),""),IFERROR(TRIM(INDEX($A14:$AB14,MATCH(Lists!$B$3,$A$1:$AB$1,0))&amp;""),""))</f>
        <v/>
      </c>
      <c r="AS14" s="31">
        <f>IF(AR14="","",IF(IFERROR(TRIM(INDEX($A14:$AB14,MATCH(Lists!$B$5,$A$1:$AB$1,0))&amp;""),"")&lt;&gt;"","Nominated","Applied"))</f>
        <v/>
      </c>
      <c r="AT14" s="31">
        <f>IF(AR14="","",IF(IFERROR(TRIM(INDEX($A14:$AB14,MATCH(Lists!$B$5,$A$1:$AB$1,0))&amp;""),"")&lt;&gt;"",IFERROR(TRIM(INDEX($A14:$AB14,MATCH(Lists!$B$6,$A$1:$AB$1,0))&amp;""),""),IFERROR(TRIM(INDEX($A14:$AB14,MATCH(Lists!$B$4,$A$1:$AB$1,0))&amp;""),"")))</f>
        <v/>
      </c>
      <c r="AU14" s="31">
        <f>IF(AR14="","",IFERROR(TRIM(INDEX($A14:$AB14,MATCH(Lists!$B$7,$A$1:$AB$1,0))&amp;""),""))</f>
        <v/>
      </c>
      <c r="AV14" s="31">
        <f>IF(AR14="","",IFERROR(TRIM(INDEX($A14:$AB14,MATCH(Lists!$B$9,$A$1:$AB$1,0))&amp;""),""))</f>
        <v/>
      </c>
      <c r="AW14" s="31">
        <f>IF(AR14="","",IFERROR(TRIM(INDEX($A14:$AB14,MATCH(Lists!$B$8,$A$1:$AB$1,0))&amp;""),""))</f>
        <v/>
      </c>
      <c r="AX14" s="23">
        <f>IF(AR14="","",IF(OR(TRIM(AE14&amp;"")&lt;&gt;"",AND(Skills!$B$5&lt;&gt;"",ISNUMBER(SEARCH(Skills!$B$5,AU14)))),1,0))</f>
        <v/>
      </c>
      <c r="AY14" s="23">
        <f>IF(AR14="","",IF(OR(TRIM(AF14&amp;"")&lt;&gt;"",AND(Skills!$B$6&lt;&gt;"",ISNUMBER(SEARCH(Skills!$B$6,AU14)))),1,0))</f>
        <v/>
      </c>
      <c r="AZ14" s="23">
        <f>IF(AR14="","",IF(OR(TRIM(AG14&amp;"")&lt;&gt;"",AND(Skills!$B$7&lt;&gt;"",ISNUMBER(SEARCH(Skills!$B$7,AU14)))),1,0))</f>
        <v/>
      </c>
      <c r="BA14" s="23">
        <f>IF(AR14="","",IF(OR(TRIM(AH14&amp;"")&lt;&gt;"",AND(Skills!$B$8&lt;&gt;"",ISNUMBER(SEARCH(Skills!$B$8,AU14)))),1,0))</f>
        <v/>
      </c>
      <c r="BB14" s="23">
        <f>IF(AR14="","",IF(OR(TRIM(AI14&amp;"")&lt;&gt;"",AND(Skills!$B$9&lt;&gt;"",ISNUMBER(SEARCH(Skills!$B$9,AU14)))),1,0))</f>
        <v/>
      </c>
      <c r="BC14" s="23">
        <f>IF(AR14="","",IF(OR(TRIM(AJ14&amp;"")&lt;&gt;"",AND(Skills!$B$10&lt;&gt;"",ISNUMBER(SEARCH(Skills!$B$10,AU14)))),1,0))</f>
        <v/>
      </c>
      <c r="BD14" s="23">
        <f>IF(AR14="","",IF(OR(TRIM(AK14&amp;"")&lt;&gt;"",AND(Skills!$B$11&lt;&gt;"",ISNUMBER(SEARCH(Skills!$B$11,AU14)))),1,0))</f>
        <v/>
      </c>
      <c r="BE14" s="23">
        <f>IF(AR14="","",IF(OR(TRIM(AL14&amp;"")&lt;&gt;"",AND(Skills!$B$12&lt;&gt;"",ISNUMBER(SEARCH(Skills!$B$12,AU14)))),1,0))</f>
        <v/>
      </c>
      <c r="BF14" s="23">
        <f>IF(AR14="","",IF(OR(TRIM(AM14&amp;"")&lt;&gt;"",AND(Skills!$B$13&lt;&gt;"",ISNUMBER(SEARCH(Skills!$B$13,AU14)))),1,0))</f>
        <v/>
      </c>
      <c r="BG14" s="23">
        <f>IF(AR14="","",IF(OR(TRIM(AN14&amp;"")&lt;&gt;"",AND(Skills!$B$14&lt;&gt;"",ISNUMBER(SEARCH(Skills!$B$14,AU14)))),1,0))</f>
        <v/>
      </c>
      <c r="BH14" s="23">
        <f>IF(AR14="","",IF(OR(TRIM(AO14&amp;"")&lt;&gt;"",AND(Skills!$B$15&lt;&gt;"",ISNUMBER(SEARCH(Skills!$B$15,AU14)))),1,0))</f>
        <v/>
      </c>
      <c r="BI14" s="23">
        <f>IF(AR14="","",IF(OR(TRIM(AP14&amp;"")&lt;&gt;"",AND(Skills!$B$16&lt;&gt;"",ISNUMBER(SEARCH(Skills!$B$16,AU14)))),1,0))</f>
        <v/>
      </c>
      <c r="BJ14" s="23">
        <f>IF(AR14="","",SUMPRODUCT($AX14:$BI14,Skills!$B$20:$M$20))</f>
        <v/>
      </c>
      <c r="BK14" s="23">
        <f>IF(AR14="","",BJ14*100000+(100000-ROW()))</f>
        <v/>
      </c>
      <c r="BL14" s="31">
        <f>IF(AR14="","",IF((IF(AND(AX14=1,Skills!$B$20=1),Skills!$B$5&amp;", ","")&amp;IF(AND(AY14=1,Skills!$C$20=1),Skills!$B$6&amp;", ","")&amp;IF(AND(AZ14=1,Skills!$D$20=1),Skills!$B$7&amp;", ","")&amp;IF(AND(BA14=1,Skills!$E$20=1),Skills!$B$8&amp;", ","")&amp;IF(AND(BB14=1,Skills!$F$20=1),Skills!$B$9&amp;", ","")&amp;IF(AND(BC14=1,Skills!$G$20=1),Skills!$B$10&amp;", ","")&amp;IF(AND(BD14=1,Skills!$H$20=1),Skills!$B$11&amp;", ","")&amp;IF(AND(BE14=1,Skills!$I$20=1),Skills!$B$12&amp;", ","")&amp;IF(AND(BF14=1,Skills!$J$20=1),Skills!$B$13&amp;", ","")&amp;IF(AND(BG14=1,Skills!$K$20=1),Skills!$B$14&amp;", ","")&amp;IF(AND(BH14=1,Skills!$L$20=1),Skills!$B$15&amp;", ","")&amp;IF(AND(BI14=1,Skills!$M$20=1),Skills!$B$16&amp;", ",""))="","",LEFT(IF(AND(AX14=1,Skills!$B$20=1),Skills!$B$5&amp;", ","")&amp;IF(AND(AY14=1,Skills!$C$20=1),Skills!$B$6&amp;", ","")&amp;IF(AND(AZ14=1,Skills!$D$20=1),Skills!$B$7&amp;", ","")&amp;IF(AND(BA14=1,Skills!$E$20=1),Skills!$B$8&amp;", ","")&amp;IF(AND(BB14=1,Skills!$F$20=1),Skills!$B$9&amp;", ","")&amp;IF(AND(BC14=1,Skills!$G$20=1),Skills!$B$10&amp;", ","")&amp;IF(AND(BD14=1,Skills!$H$20=1),Skills!$B$11&amp;", ","")&amp;IF(AND(BE14=1,Skills!$I$20=1),Skills!$B$12&amp;", ","")&amp;IF(AND(BF14=1,Skills!$J$20=1),Skills!$B$13&amp;", ","")&amp;IF(AND(BG14=1,Skills!$K$20=1),Skills!$B$14&amp;", ","")&amp;IF(AND(BH14=1,Skills!$L$20=1),Skills!$B$15&amp;", ","")&amp;IF(AND(BI14=1,Skills!$M$20=1),Skills!$B$16&amp;", ",""),LEN(IF(AND(AX14=1,Skills!$B$20=1),Skills!$B$5&amp;", ","")&amp;IF(AND(AY14=1,Skills!$C$20=1),Skills!$B$6&amp;", ","")&amp;IF(AND(AZ14=1,Skills!$D$20=1),Skills!$B$7&amp;", ","")&amp;IF(AND(BA14=1,Skills!$E$20=1),Skills!$B$8&amp;", ","")&amp;IF(AND(BB14=1,Skills!$F$20=1),Skills!$B$9&amp;", ","")&amp;IF(AND(BC14=1,Skills!$G$20=1),Skills!$B$10&amp;", ","")&amp;IF(AND(BD14=1,Skills!$H$20=1),Skills!$B$11&amp;", ","")&amp;IF(AND(BE14=1,Skills!$I$20=1),Skills!$B$12&amp;", ","")&amp;IF(AND(BF14=1,Skills!$J$20=1),Skills!$B$13&amp;", ","")&amp;IF(AND(BG14=1,Skills!$K$20=1),Skills!$B$14&amp;", ","")&amp;IF(AND(BH14=1,Skills!$L$20=1),Skills!$B$15&amp;", ","")&amp;IF(AND(BI14=1,Skills!$M$20=1),Skills!$B$16&amp;", ",""))-2)))</f>
        <v/>
      </c>
    </row>
    <row r="15">
      <c r="AD15" s="20" t="n"/>
      <c r="AE15" s="20" t="n"/>
      <c r="AF15" s="20" t="n"/>
      <c r="AG15" s="20" t="n"/>
      <c r="AH15" s="20" t="n"/>
      <c r="AI15" s="20" t="n"/>
      <c r="AJ15" s="20" t="n"/>
      <c r="AK15" s="20" t="n"/>
      <c r="AL15" s="20" t="n"/>
      <c r="AM15" s="20" t="n"/>
      <c r="AN15" s="20" t="n"/>
      <c r="AO15" s="20" t="n"/>
      <c r="AP15" s="20" t="n"/>
      <c r="AR15" s="31">
        <f>IF(IFERROR(TRIM(INDEX($A15:$AB15,MATCH(Lists!$B$5,$A$1:$AB$1,0))&amp;""),"")&lt;&gt;"",IFERROR(TRIM(INDEX($A15:$AB15,MATCH(Lists!$B$5,$A$1:$AB$1,0))&amp;""),""),IFERROR(TRIM(INDEX($A15:$AB15,MATCH(Lists!$B$3,$A$1:$AB$1,0))&amp;""),""))</f>
        <v/>
      </c>
      <c r="AS15" s="31">
        <f>IF(AR15="","",IF(IFERROR(TRIM(INDEX($A15:$AB15,MATCH(Lists!$B$5,$A$1:$AB$1,0))&amp;""),"")&lt;&gt;"","Nominated","Applied"))</f>
        <v/>
      </c>
      <c r="AT15" s="31">
        <f>IF(AR15="","",IF(IFERROR(TRIM(INDEX($A15:$AB15,MATCH(Lists!$B$5,$A$1:$AB$1,0))&amp;""),"")&lt;&gt;"",IFERROR(TRIM(INDEX($A15:$AB15,MATCH(Lists!$B$6,$A$1:$AB$1,0))&amp;""),""),IFERROR(TRIM(INDEX($A15:$AB15,MATCH(Lists!$B$4,$A$1:$AB$1,0))&amp;""),"")))</f>
        <v/>
      </c>
      <c r="AU15" s="31">
        <f>IF(AR15="","",IFERROR(TRIM(INDEX($A15:$AB15,MATCH(Lists!$B$7,$A$1:$AB$1,0))&amp;""),""))</f>
        <v/>
      </c>
      <c r="AV15" s="31">
        <f>IF(AR15="","",IFERROR(TRIM(INDEX($A15:$AB15,MATCH(Lists!$B$9,$A$1:$AB$1,0))&amp;""),""))</f>
        <v/>
      </c>
      <c r="AW15" s="31">
        <f>IF(AR15="","",IFERROR(TRIM(INDEX($A15:$AB15,MATCH(Lists!$B$8,$A$1:$AB$1,0))&amp;""),""))</f>
        <v/>
      </c>
      <c r="AX15" s="23">
        <f>IF(AR15="","",IF(OR(TRIM(AE15&amp;"")&lt;&gt;"",AND(Skills!$B$5&lt;&gt;"",ISNUMBER(SEARCH(Skills!$B$5,AU15)))),1,0))</f>
        <v/>
      </c>
      <c r="AY15" s="23">
        <f>IF(AR15="","",IF(OR(TRIM(AF15&amp;"")&lt;&gt;"",AND(Skills!$B$6&lt;&gt;"",ISNUMBER(SEARCH(Skills!$B$6,AU15)))),1,0))</f>
        <v/>
      </c>
      <c r="AZ15" s="23">
        <f>IF(AR15="","",IF(OR(TRIM(AG15&amp;"")&lt;&gt;"",AND(Skills!$B$7&lt;&gt;"",ISNUMBER(SEARCH(Skills!$B$7,AU15)))),1,0))</f>
        <v/>
      </c>
      <c r="BA15" s="23">
        <f>IF(AR15="","",IF(OR(TRIM(AH15&amp;"")&lt;&gt;"",AND(Skills!$B$8&lt;&gt;"",ISNUMBER(SEARCH(Skills!$B$8,AU15)))),1,0))</f>
        <v/>
      </c>
      <c r="BB15" s="23">
        <f>IF(AR15="","",IF(OR(TRIM(AI15&amp;"")&lt;&gt;"",AND(Skills!$B$9&lt;&gt;"",ISNUMBER(SEARCH(Skills!$B$9,AU15)))),1,0))</f>
        <v/>
      </c>
      <c r="BC15" s="23">
        <f>IF(AR15="","",IF(OR(TRIM(AJ15&amp;"")&lt;&gt;"",AND(Skills!$B$10&lt;&gt;"",ISNUMBER(SEARCH(Skills!$B$10,AU15)))),1,0))</f>
        <v/>
      </c>
      <c r="BD15" s="23">
        <f>IF(AR15="","",IF(OR(TRIM(AK15&amp;"")&lt;&gt;"",AND(Skills!$B$11&lt;&gt;"",ISNUMBER(SEARCH(Skills!$B$11,AU15)))),1,0))</f>
        <v/>
      </c>
      <c r="BE15" s="23">
        <f>IF(AR15="","",IF(OR(TRIM(AL15&amp;"")&lt;&gt;"",AND(Skills!$B$12&lt;&gt;"",ISNUMBER(SEARCH(Skills!$B$12,AU15)))),1,0))</f>
        <v/>
      </c>
      <c r="BF15" s="23">
        <f>IF(AR15="","",IF(OR(TRIM(AM15&amp;"")&lt;&gt;"",AND(Skills!$B$13&lt;&gt;"",ISNUMBER(SEARCH(Skills!$B$13,AU15)))),1,0))</f>
        <v/>
      </c>
      <c r="BG15" s="23">
        <f>IF(AR15="","",IF(OR(TRIM(AN15&amp;"")&lt;&gt;"",AND(Skills!$B$14&lt;&gt;"",ISNUMBER(SEARCH(Skills!$B$14,AU15)))),1,0))</f>
        <v/>
      </c>
      <c r="BH15" s="23">
        <f>IF(AR15="","",IF(OR(TRIM(AO15&amp;"")&lt;&gt;"",AND(Skills!$B$15&lt;&gt;"",ISNUMBER(SEARCH(Skills!$B$15,AU15)))),1,0))</f>
        <v/>
      </c>
      <c r="BI15" s="23">
        <f>IF(AR15="","",IF(OR(TRIM(AP15&amp;"")&lt;&gt;"",AND(Skills!$B$16&lt;&gt;"",ISNUMBER(SEARCH(Skills!$B$16,AU15)))),1,0))</f>
        <v/>
      </c>
      <c r="BJ15" s="23">
        <f>IF(AR15="","",SUMPRODUCT($AX15:$BI15,Skills!$B$20:$M$20))</f>
        <v/>
      </c>
      <c r="BK15" s="23">
        <f>IF(AR15="","",BJ15*100000+(100000-ROW()))</f>
        <v/>
      </c>
      <c r="BL15" s="31">
        <f>IF(AR15="","",IF((IF(AND(AX15=1,Skills!$B$20=1),Skills!$B$5&amp;", ","")&amp;IF(AND(AY15=1,Skills!$C$20=1),Skills!$B$6&amp;", ","")&amp;IF(AND(AZ15=1,Skills!$D$20=1),Skills!$B$7&amp;", ","")&amp;IF(AND(BA15=1,Skills!$E$20=1),Skills!$B$8&amp;", ","")&amp;IF(AND(BB15=1,Skills!$F$20=1),Skills!$B$9&amp;", ","")&amp;IF(AND(BC15=1,Skills!$G$20=1),Skills!$B$10&amp;", ","")&amp;IF(AND(BD15=1,Skills!$H$20=1),Skills!$B$11&amp;", ","")&amp;IF(AND(BE15=1,Skills!$I$20=1),Skills!$B$12&amp;", ","")&amp;IF(AND(BF15=1,Skills!$J$20=1),Skills!$B$13&amp;", ","")&amp;IF(AND(BG15=1,Skills!$K$20=1),Skills!$B$14&amp;", ","")&amp;IF(AND(BH15=1,Skills!$L$20=1),Skills!$B$15&amp;", ","")&amp;IF(AND(BI15=1,Skills!$M$20=1),Skills!$B$16&amp;", ",""))="","",LEFT(IF(AND(AX15=1,Skills!$B$20=1),Skills!$B$5&amp;", ","")&amp;IF(AND(AY15=1,Skills!$C$20=1),Skills!$B$6&amp;", ","")&amp;IF(AND(AZ15=1,Skills!$D$20=1),Skills!$B$7&amp;", ","")&amp;IF(AND(BA15=1,Skills!$E$20=1),Skills!$B$8&amp;", ","")&amp;IF(AND(BB15=1,Skills!$F$20=1),Skills!$B$9&amp;", ","")&amp;IF(AND(BC15=1,Skills!$G$20=1),Skills!$B$10&amp;", ","")&amp;IF(AND(BD15=1,Skills!$H$20=1),Skills!$B$11&amp;", ","")&amp;IF(AND(BE15=1,Skills!$I$20=1),Skills!$B$12&amp;", ","")&amp;IF(AND(BF15=1,Skills!$J$20=1),Skills!$B$13&amp;", ","")&amp;IF(AND(BG15=1,Skills!$K$20=1),Skills!$B$14&amp;", ","")&amp;IF(AND(BH15=1,Skills!$L$20=1),Skills!$B$15&amp;", ","")&amp;IF(AND(BI15=1,Skills!$M$20=1),Skills!$B$16&amp;", ",""),LEN(IF(AND(AX15=1,Skills!$B$20=1),Skills!$B$5&amp;", ","")&amp;IF(AND(AY15=1,Skills!$C$20=1),Skills!$B$6&amp;", ","")&amp;IF(AND(AZ15=1,Skills!$D$20=1),Skills!$B$7&amp;", ","")&amp;IF(AND(BA15=1,Skills!$E$20=1),Skills!$B$8&amp;", ","")&amp;IF(AND(BB15=1,Skills!$F$20=1),Skills!$B$9&amp;", ","")&amp;IF(AND(BC15=1,Skills!$G$20=1),Skills!$B$10&amp;", ","")&amp;IF(AND(BD15=1,Skills!$H$20=1),Skills!$B$11&amp;", ","")&amp;IF(AND(BE15=1,Skills!$I$20=1),Skills!$B$12&amp;", ","")&amp;IF(AND(BF15=1,Skills!$J$20=1),Skills!$B$13&amp;", ","")&amp;IF(AND(BG15=1,Skills!$K$20=1),Skills!$B$14&amp;", ","")&amp;IF(AND(BH15=1,Skills!$L$20=1),Skills!$B$15&amp;", ","")&amp;IF(AND(BI15=1,Skills!$M$20=1),Skills!$B$16&amp;", ",""))-2)))</f>
        <v/>
      </c>
    </row>
    <row r="16">
      <c r="AD16" s="20" t="n"/>
      <c r="AE16" s="20" t="n"/>
      <c r="AF16" s="20" t="n"/>
      <c r="AG16" s="20" t="n"/>
      <c r="AH16" s="20" t="n"/>
      <c r="AI16" s="20" t="n"/>
      <c r="AJ16" s="20" t="n"/>
      <c r="AK16" s="20" t="n"/>
      <c r="AL16" s="20" t="n"/>
      <c r="AM16" s="20" t="n"/>
      <c r="AN16" s="20" t="n"/>
      <c r="AO16" s="20" t="n"/>
      <c r="AP16" s="20" t="n"/>
      <c r="AR16" s="31">
        <f>IF(IFERROR(TRIM(INDEX($A16:$AB16,MATCH(Lists!$B$5,$A$1:$AB$1,0))&amp;""),"")&lt;&gt;"",IFERROR(TRIM(INDEX($A16:$AB16,MATCH(Lists!$B$5,$A$1:$AB$1,0))&amp;""),""),IFERROR(TRIM(INDEX($A16:$AB16,MATCH(Lists!$B$3,$A$1:$AB$1,0))&amp;""),""))</f>
        <v/>
      </c>
      <c r="AS16" s="31">
        <f>IF(AR16="","",IF(IFERROR(TRIM(INDEX($A16:$AB16,MATCH(Lists!$B$5,$A$1:$AB$1,0))&amp;""),"")&lt;&gt;"","Nominated","Applied"))</f>
        <v/>
      </c>
      <c r="AT16" s="31">
        <f>IF(AR16="","",IF(IFERROR(TRIM(INDEX($A16:$AB16,MATCH(Lists!$B$5,$A$1:$AB$1,0))&amp;""),"")&lt;&gt;"",IFERROR(TRIM(INDEX($A16:$AB16,MATCH(Lists!$B$6,$A$1:$AB$1,0))&amp;""),""),IFERROR(TRIM(INDEX($A16:$AB16,MATCH(Lists!$B$4,$A$1:$AB$1,0))&amp;""),"")))</f>
        <v/>
      </c>
      <c r="AU16" s="31">
        <f>IF(AR16="","",IFERROR(TRIM(INDEX($A16:$AB16,MATCH(Lists!$B$7,$A$1:$AB$1,0))&amp;""),""))</f>
        <v/>
      </c>
      <c r="AV16" s="31">
        <f>IF(AR16="","",IFERROR(TRIM(INDEX($A16:$AB16,MATCH(Lists!$B$9,$A$1:$AB$1,0))&amp;""),""))</f>
        <v/>
      </c>
      <c r="AW16" s="31">
        <f>IF(AR16="","",IFERROR(TRIM(INDEX($A16:$AB16,MATCH(Lists!$B$8,$A$1:$AB$1,0))&amp;""),""))</f>
        <v/>
      </c>
      <c r="AX16" s="23">
        <f>IF(AR16="","",IF(OR(TRIM(AE16&amp;"")&lt;&gt;"",AND(Skills!$B$5&lt;&gt;"",ISNUMBER(SEARCH(Skills!$B$5,AU16)))),1,0))</f>
        <v/>
      </c>
      <c r="AY16" s="23">
        <f>IF(AR16="","",IF(OR(TRIM(AF16&amp;"")&lt;&gt;"",AND(Skills!$B$6&lt;&gt;"",ISNUMBER(SEARCH(Skills!$B$6,AU16)))),1,0))</f>
        <v/>
      </c>
      <c r="AZ16" s="23">
        <f>IF(AR16="","",IF(OR(TRIM(AG16&amp;"")&lt;&gt;"",AND(Skills!$B$7&lt;&gt;"",ISNUMBER(SEARCH(Skills!$B$7,AU16)))),1,0))</f>
        <v/>
      </c>
      <c r="BA16" s="23">
        <f>IF(AR16="","",IF(OR(TRIM(AH16&amp;"")&lt;&gt;"",AND(Skills!$B$8&lt;&gt;"",ISNUMBER(SEARCH(Skills!$B$8,AU16)))),1,0))</f>
        <v/>
      </c>
      <c r="BB16" s="23">
        <f>IF(AR16="","",IF(OR(TRIM(AI16&amp;"")&lt;&gt;"",AND(Skills!$B$9&lt;&gt;"",ISNUMBER(SEARCH(Skills!$B$9,AU16)))),1,0))</f>
        <v/>
      </c>
      <c r="BC16" s="23">
        <f>IF(AR16="","",IF(OR(TRIM(AJ16&amp;"")&lt;&gt;"",AND(Skills!$B$10&lt;&gt;"",ISNUMBER(SEARCH(Skills!$B$10,AU16)))),1,0))</f>
        <v/>
      </c>
      <c r="BD16" s="23">
        <f>IF(AR16="","",IF(OR(TRIM(AK16&amp;"")&lt;&gt;"",AND(Skills!$B$11&lt;&gt;"",ISNUMBER(SEARCH(Skills!$B$11,AU16)))),1,0))</f>
        <v/>
      </c>
      <c r="BE16" s="23">
        <f>IF(AR16="","",IF(OR(TRIM(AL16&amp;"")&lt;&gt;"",AND(Skills!$B$12&lt;&gt;"",ISNUMBER(SEARCH(Skills!$B$12,AU16)))),1,0))</f>
        <v/>
      </c>
      <c r="BF16" s="23">
        <f>IF(AR16="","",IF(OR(TRIM(AM16&amp;"")&lt;&gt;"",AND(Skills!$B$13&lt;&gt;"",ISNUMBER(SEARCH(Skills!$B$13,AU16)))),1,0))</f>
        <v/>
      </c>
      <c r="BG16" s="23">
        <f>IF(AR16="","",IF(OR(TRIM(AN16&amp;"")&lt;&gt;"",AND(Skills!$B$14&lt;&gt;"",ISNUMBER(SEARCH(Skills!$B$14,AU16)))),1,0))</f>
        <v/>
      </c>
      <c r="BH16" s="23">
        <f>IF(AR16="","",IF(OR(TRIM(AO16&amp;"")&lt;&gt;"",AND(Skills!$B$15&lt;&gt;"",ISNUMBER(SEARCH(Skills!$B$15,AU16)))),1,0))</f>
        <v/>
      </c>
      <c r="BI16" s="23">
        <f>IF(AR16="","",IF(OR(TRIM(AP16&amp;"")&lt;&gt;"",AND(Skills!$B$16&lt;&gt;"",ISNUMBER(SEARCH(Skills!$B$16,AU16)))),1,0))</f>
        <v/>
      </c>
      <c r="BJ16" s="23">
        <f>IF(AR16="","",SUMPRODUCT($AX16:$BI16,Skills!$B$20:$M$20))</f>
        <v/>
      </c>
      <c r="BK16" s="23">
        <f>IF(AR16="","",BJ16*100000+(100000-ROW()))</f>
        <v/>
      </c>
      <c r="BL16" s="31">
        <f>IF(AR16="","",IF((IF(AND(AX16=1,Skills!$B$20=1),Skills!$B$5&amp;", ","")&amp;IF(AND(AY16=1,Skills!$C$20=1),Skills!$B$6&amp;", ","")&amp;IF(AND(AZ16=1,Skills!$D$20=1),Skills!$B$7&amp;", ","")&amp;IF(AND(BA16=1,Skills!$E$20=1),Skills!$B$8&amp;", ","")&amp;IF(AND(BB16=1,Skills!$F$20=1),Skills!$B$9&amp;", ","")&amp;IF(AND(BC16=1,Skills!$G$20=1),Skills!$B$10&amp;", ","")&amp;IF(AND(BD16=1,Skills!$H$20=1),Skills!$B$11&amp;", ","")&amp;IF(AND(BE16=1,Skills!$I$20=1),Skills!$B$12&amp;", ","")&amp;IF(AND(BF16=1,Skills!$J$20=1),Skills!$B$13&amp;", ","")&amp;IF(AND(BG16=1,Skills!$K$20=1),Skills!$B$14&amp;", ","")&amp;IF(AND(BH16=1,Skills!$L$20=1),Skills!$B$15&amp;", ","")&amp;IF(AND(BI16=1,Skills!$M$20=1),Skills!$B$16&amp;", ",""))="","",LEFT(IF(AND(AX16=1,Skills!$B$20=1),Skills!$B$5&amp;", ","")&amp;IF(AND(AY16=1,Skills!$C$20=1),Skills!$B$6&amp;", ","")&amp;IF(AND(AZ16=1,Skills!$D$20=1),Skills!$B$7&amp;", ","")&amp;IF(AND(BA16=1,Skills!$E$20=1),Skills!$B$8&amp;", ","")&amp;IF(AND(BB16=1,Skills!$F$20=1),Skills!$B$9&amp;", ","")&amp;IF(AND(BC16=1,Skills!$G$20=1),Skills!$B$10&amp;", ","")&amp;IF(AND(BD16=1,Skills!$H$20=1),Skills!$B$11&amp;", ","")&amp;IF(AND(BE16=1,Skills!$I$20=1),Skills!$B$12&amp;", ","")&amp;IF(AND(BF16=1,Skills!$J$20=1),Skills!$B$13&amp;", ","")&amp;IF(AND(BG16=1,Skills!$K$20=1),Skills!$B$14&amp;", ","")&amp;IF(AND(BH16=1,Skills!$L$20=1),Skills!$B$15&amp;", ","")&amp;IF(AND(BI16=1,Skills!$M$20=1),Skills!$B$16&amp;", ",""),LEN(IF(AND(AX16=1,Skills!$B$20=1),Skills!$B$5&amp;", ","")&amp;IF(AND(AY16=1,Skills!$C$20=1),Skills!$B$6&amp;", ","")&amp;IF(AND(AZ16=1,Skills!$D$20=1),Skills!$B$7&amp;", ","")&amp;IF(AND(BA16=1,Skills!$E$20=1),Skills!$B$8&amp;", ","")&amp;IF(AND(BB16=1,Skills!$F$20=1),Skills!$B$9&amp;", ","")&amp;IF(AND(BC16=1,Skills!$G$20=1),Skills!$B$10&amp;", ","")&amp;IF(AND(BD16=1,Skills!$H$20=1),Skills!$B$11&amp;", ","")&amp;IF(AND(BE16=1,Skills!$I$20=1),Skills!$B$12&amp;", ","")&amp;IF(AND(BF16=1,Skills!$J$20=1),Skills!$B$13&amp;", ","")&amp;IF(AND(BG16=1,Skills!$K$20=1),Skills!$B$14&amp;", ","")&amp;IF(AND(BH16=1,Skills!$L$20=1),Skills!$B$15&amp;", ","")&amp;IF(AND(BI16=1,Skills!$M$20=1),Skills!$B$16&amp;", ",""))-2)))</f>
        <v/>
      </c>
    </row>
    <row r="17">
      <c r="AD17" s="20" t="n"/>
      <c r="AE17" s="20" t="n"/>
      <c r="AF17" s="20" t="n"/>
      <c r="AG17" s="20" t="n"/>
      <c r="AH17" s="20" t="n"/>
      <c r="AI17" s="20" t="n"/>
      <c r="AJ17" s="20" t="n"/>
      <c r="AK17" s="20" t="n"/>
      <c r="AL17" s="20" t="n"/>
      <c r="AM17" s="20" t="n"/>
      <c r="AN17" s="20" t="n"/>
      <c r="AO17" s="20" t="n"/>
      <c r="AP17" s="20" t="n"/>
      <c r="AR17" s="31">
        <f>IF(IFERROR(TRIM(INDEX($A17:$AB17,MATCH(Lists!$B$5,$A$1:$AB$1,0))&amp;""),"")&lt;&gt;"",IFERROR(TRIM(INDEX($A17:$AB17,MATCH(Lists!$B$5,$A$1:$AB$1,0))&amp;""),""),IFERROR(TRIM(INDEX($A17:$AB17,MATCH(Lists!$B$3,$A$1:$AB$1,0))&amp;""),""))</f>
        <v/>
      </c>
      <c r="AS17" s="31">
        <f>IF(AR17="","",IF(IFERROR(TRIM(INDEX($A17:$AB17,MATCH(Lists!$B$5,$A$1:$AB$1,0))&amp;""),"")&lt;&gt;"","Nominated","Applied"))</f>
        <v/>
      </c>
      <c r="AT17" s="31">
        <f>IF(AR17="","",IF(IFERROR(TRIM(INDEX($A17:$AB17,MATCH(Lists!$B$5,$A$1:$AB$1,0))&amp;""),"")&lt;&gt;"",IFERROR(TRIM(INDEX($A17:$AB17,MATCH(Lists!$B$6,$A$1:$AB$1,0))&amp;""),""),IFERROR(TRIM(INDEX($A17:$AB17,MATCH(Lists!$B$4,$A$1:$AB$1,0))&amp;""),"")))</f>
        <v/>
      </c>
      <c r="AU17" s="31">
        <f>IF(AR17="","",IFERROR(TRIM(INDEX($A17:$AB17,MATCH(Lists!$B$7,$A$1:$AB$1,0))&amp;""),""))</f>
        <v/>
      </c>
      <c r="AV17" s="31">
        <f>IF(AR17="","",IFERROR(TRIM(INDEX($A17:$AB17,MATCH(Lists!$B$9,$A$1:$AB$1,0))&amp;""),""))</f>
        <v/>
      </c>
      <c r="AW17" s="31">
        <f>IF(AR17="","",IFERROR(TRIM(INDEX($A17:$AB17,MATCH(Lists!$B$8,$A$1:$AB$1,0))&amp;""),""))</f>
        <v/>
      </c>
      <c r="AX17" s="23">
        <f>IF(AR17="","",IF(OR(TRIM(AE17&amp;"")&lt;&gt;"",AND(Skills!$B$5&lt;&gt;"",ISNUMBER(SEARCH(Skills!$B$5,AU17)))),1,0))</f>
        <v/>
      </c>
      <c r="AY17" s="23">
        <f>IF(AR17="","",IF(OR(TRIM(AF17&amp;"")&lt;&gt;"",AND(Skills!$B$6&lt;&gt;"",ISNUMBER(SEARCH(Skills!$B$6,AU17)))),1,0))</f>
        <v/>
      </c>
      <c r="AZ17" s="23">
        <f>IF(AR17="","",IF(OR(TRIM(AG17&amp;"")&lt;&gt;"",AND(Skills!$B$7&lt;&gt;"",ISNUMBER(SEARCH(Skills!$B$7,AU17)))),1,0))</f>
        <v/>
      </c>
      <c r="BA17" s="23">
        <f>IF(AR17="","",IF(OR(TRIM(AH17&amp;"")&lt;&gt;"",AND(Skills!$B$8&lt;&gt;"",ISNUMBER(SEARCH(Skills!$B$8,AU17)))),1,0))</f>
        <v/>
      </c>
      <c r="BB17" s="23">
        <f>IF(AR17="","",IF(OR(TRIM(AI17&amp;"")&lt;&gt;"",AND(Skills!$B$9&lt;&gt;"",ISNUMBER(SEARCH(Skills!$B$9,AU17)))),1,0))</f>
        <v/>
      </c>
      <c r="BC17" s="23">
        <f>IF(AR17="","",IF(OR(TRIM(AJ17&amp;"")&lt;&gt;"",AND(Skills!$B$10&lt;&gt;"",ISNUMBER(SEARCH(Skills!$B$10,AU17)))),1,0))</f>
        <v/>
      </c>
      <c r="BD17" s="23">
        <f>IF(AR17="","",IF(OR(TRIM(AK17&amp;"")&lt;&gt;"",AND(Skills!$B$11&lt;&gt;"",ISNUMBER(SEARCH(Skills!$B$11,AU17)))),1,0))</f>
        <v/>
      </c>
      <c r="BE17" s="23">
        <f>IF(AR17="","",IF(OR(TRIM(AL17&amp;"")&lt;&gt;"",AND(Skills!$B$12&lt;&gt;"",ISNUMBER(SEARCH(Skills!$B$12,AU17)))),1,0))</f>
        <v/>
      </c>
      <c r="BF17" s="23">
        <f>IF(AR17="","",IF(OR(TRIM(AM17&amp;"")&lt;&gt;"",AND(Skills!$B$13&lt;&gt;"",ISNUMBER(SEARCH(Skills!$B$13,AU17)))),1,0))</f>
        <v/>
      </c>
      <c r="BG17" s="23">
        <f>IF(AR17="","",IF(OR(TRIM(AN17&amp;"")&lt;&gt;"",AND(Skills!$B$14&lt;&gt;"",ISNUMBER(SEARCH(Skills!$B$14,AU17)))),1,0))</f>
        <v/>
      </c>
      <c r="BH17" s="23">
        <f>IF(AR17="","",IF(OR(TRIM(AO17&amp;"")&lt;&gt;"",AND(Skills!$B$15&lt;&gt;"",ISNUMBER(SEARCH(Skills!$B$15,AU17)))),1,0))</f>
        <v/>
      </c>
      <c r="BI17" s="23">
        <f>IF(AR17="","",IF(OR(TRIM(AP17&amp;"")&lt;&gt;"",AND(Skills!$B$16&lt;&gt;"",ISNUMBER(SEARCH(Skills!$B$16,AU17)))),1,0))</f>
        <v/>
      </c>
      <c r="BJ17" s="23">
        <f>IF(AR17="","",SUMPRODUCT($AX17:$BI17,Skills!$B$20:$M$20))</f>
        <v/>
      </c>
      <c r="BK17" s="23">
        <f>IF(AR17="","",BJ17*100000+(100000-ROW()))</f>
        <v/>
      </c>
      <c r="BL17" s="31">
        <f>IF(AR17="","",IF((IF(AND(AX17=1,Skills!$B$20=1),Skills!$B$5&amp;", ","")&amp;IF(AND(AY17=1,Skills!$C$20=1),Skills!$B$6&amp;", ","")&amp;IF(AND(AZ17=1,Skills!$D$20=1),Skills!$B$7&amp;", ","")&amp;IF(AND(BA17=1,Skills!$E$20=1),Skills!$B$8&amp;", ","")&amp;IF(AND(BB17=1,Skills!$F$20=1),Skills!$B$9&amp;", ","")&amp;IF(AND(BC17=1,Skills!$G$20=1),Skills!$B$10&amp;", ","")&amp;IF(AND(BD17=1,Skills!$H$20=1),Skills!$B$11&amp;", ","")&amp;IF(AND(BE17=1,Skills!$I$20=1),Skills!$B$12&amp;", ","")&amp;IF(AND(BF17=1,Skills!$J$20=1),Skills!$B$13&amp;", ","")&amp;IF(AND(BG17=1,Skills!$K$20=1),Skills!$B$14&amp;", ","")&amp;IF(AND(BH17=1,Skills!$L$20=1),Skills!$B$15&amp;", ","")&amp;IF(AND(BI17=1,Skills!$M$20=1),Skills!$B$16&amp;", ",""))="","",LEFT(IF(AND(AX17=1,Skills!$B$20=1),Skills!$B$5&amp;", ","")&amp;IF(AND(AY17=1,Skills!$C$20=1),Skills!$B$6&amp;", ","")&amp;IF(AND(AZ17=1,Skills!$D$20=1),Skills!$B$7&amp;", ","")&amp;IF(AND(BA17=1,Skills!$E$20=1),Skills!$B$8&amp;", ","")&amp;IF(AND(BB17=1,Skills!$F$20=1),Skills!$B$9&amp;", ","")&amp;IF(AND(BC17=1,Skills!$G$20=1),Skills!$B$10&amp;", ","")&amp;IF(AND(BD17=1,Skills!$H$20=1),Skills!$B$11&amp;", ","")&amp;IF(AND(BE17=1,Skills!$I$20=1),Skills!$B$12&amp;", ","")&amp;IF(AND(BF17=1,Skills!$J$20=1),Skills!$B$13&amp;", ","")&amp;IF(AND(BG17=1,Skills!$K$20=1),Skills!$B$14&amp;", ","")&amp;IF(AND(BH17=1,Skills!$L$20=1),Skills!$B$15&amp;", ","")&amp;IF(AND(BI17=1,Skills!$M$20=1),Skills!$B$16&amp;", ",""),LEN(IF(AND(AX17=1,Skills!$B$20=1),Skills!$B$5&amp;", ","")&amp;IF(AND(AY17=1,Skills!$C$20=1),Skills!$B$6&amp;", ","")&amp;IF(AND(AZ17=1,Skills!$D$20=1),Skills!$B$7&amp;", ","")&amp;IF(AND(BA17=1,Skills!$E$20=1),Skills!$B$8&amp;", ","")&amp;IF(AND(BB17=1,Skills!$F$20=1),Skills!$B$9&amp;", ","")&amp;IF(AND(BC17=1,Skills!$G$20=1),Skills!$B$10&amp;", ","")&amp;IF(AND(BD17=1,Skills!$H$20=1),Skills!$B$11&amp;", ","")&amp;IF(AND(BE17=1,Skills!$I$20=1),Skills!$B$12&amp;", ","")&amp;IF(AND(BF17=1,Skills!$J$20=1),Skills!$B$13&amp;", ","")&amp;IF(AND(BG17=1,Skills!$K$20=1),Skills!$B$14&amp;", ","")&amp;IF(AND(BH17=1,Skills!$L$20=1),Skills!$B$15&amp;", ","")&amp;IF(AND(BI17=1,Skills!$M$20=1),Skills!$B$16&amp;", ",""))-2)))</f>
        <v/>
      </c>
    </row>
    <row r="18">
      <c r="AD18" s="20" t="n"/>
      <c r="AE18" s="20" t="n"/>
      <c r="AF18" s="20" t="n"/>
      <c r="AG18" s="20" t="n"/>
      <c r="AH18" s="20" t="n"/>
      <c r="AI18" s="20" t="n"/>
      <c r="AJ18" s="20" t="n"/>
      <c r="AK18" s="20" t="n"/>
      <c r="AL18" s="20" t="n"/>
      <c r="AM18" s="20" t="n"/>
      <c r="AN18" s="20" t="n"/>
      <c r="AO18" s="20" t="n"/>
      <c r="AP18" s="20" t="n"/>
      <c r="AR18" s="31">
        <f>IF(IFERROR(TRIM(INDEX($A18:$AB18,MATCH(Lists!$B$5,$A$1:$AB$1,0))&amp;""),"")&lt;&gt;"",IFERROR(TRIM(INDEX($A18:$AB18,MATCH(Lists!$B$5,$A$1:$AB$1,0))&amp;""),""),IFERROR(TRIM(INDEX($A18:$AB18,MATCH(Lists!$B$3,$A$1:$AB$1,0))&amp;""),""))</f>
        <v/>
      </c>
      <c r="AS18" s="31">
        <f>IF(AR18="","",IF(IFERROR(TRIM(INDEX($A18:$AB18,MATCH(Lists!$B$5,$A$1:$AB$1,0))&amp;""),"")&lt;&gt;"","Nominated","Applied"))</f>
        <v/>
      </c>
      <c r="AT18" s="31">
        <f>IF(AR18="","",IF(IFERROR(TRIM(INDEX($A18:$AB18,MATCH(Lists!$B$5,$A$1:$AB$1,0))&amp;""),"")&lt;&gt;"",IFERROR(TRIM(INDEX($A18:$AB18,MATCH(Lists!$B$6,$A$1:$AB$1,0))&amp;""),""),IFERROR(TRIM(INDEX($A18:$AB18,MATCH(Lists!$B$4,$A$1:$AB$1,0))&amp;""),"")))</f>
        <v/>
      </c>
      <c r="AU18" s="31">
        <f>IF(AR18="","",IFERROR(TRIM(INDEX($A18:$AB18,MATCH(Lists!$B$7,$A$1:$AB$1,0))&amp;""),""))</f>
        <v/>
      </c>
      <c r="AV18" s="31">
        <f>IF(AR18="","",IFERROR(TRIM(INDEX($A18:$AB18,MATCH(Lists!$B$9,$A$1:$AB$1,0))&amp;""),""))</f>
        <v/>
      </c>
      <c r="AW18" s="31">
        <f>IF(AR18="","",IFERROR(TRIM(INDEX($A18:$AB18,MATCH(Lists!$B$8,$A$1:$AB$1,0))&amp;""),""))</f>
        <v/>
      </c>
      <c r="AX18" s="23">
        <f>IF(AR18="","",IF(OR(TRIM(AE18&amp;"")&lt;&gt;"",AND(Skills!$B$5&lt;&gt;"",ISNUMBER(SEARCH(Skills!$B$5,AU18)))),1,0))</f>
        <v/>
      </c>
      <c r="AY18" s="23">
        <f>IF(AR18="","",IF(OR(TRIM(AF18&amp;"")&lt;&gt;"",AND(Skills!$B$6&lt;&gt;"",ISNUMBER(SEARCH(Skills!$B$6,AU18)))),1,0))</f>
        <v/>
      </c>
      <c r="AZ18" s="23">
        <f>IF(AR18="","",IF(OR(TRIM(AG18&amp;"")&lt;&gt;"",AND(Skills!$B$7&lt;&gt;"",ISNUMBER(SEARCH(Skills!$B$7,AU18)))),1,0))</f>
        <v/>
      </c>
      <c r="BA18" s="23">
        <f>IF(AR18="","",IF(OR(TRIM(AH18&amp;"")&lt;&gt;"",AND(Skills!$B$8&lt;&gt;"",ISNUMBER(SEARCH(Skills!$B$8,AU18)))),1,0))</f>
        <v/>
      </c>
      <c r="BB18" s="23">
        <f>IF(AR18="","",IF(OR(TRIM(AI18&amp;"")&lt;&gt;"",AND(Skills!$B$9&lt;&gt;"",ISNUMBER(SEARCH(Skills!$B$9,AU18)))),1,0))</f>
        <v/>
      </c>
      <c r="BC18" s="23">
        <f>IF(AR18="","",IF(OR(TRIM(AJ18&amp;"")&lt;&gt;"",AND(Skills!$B$10&lt;&gt;"",ISNUMBER(SEARCH(Skills!$B$10,AU18)))),1,0))</f>
        <v/>
      </c>
      <c r="BD18" s="23">
        <f>IF(AR18="","",IF(OR(TRIM(AK18&amp;"")&lt;&gt;"",AND(Skills!$B$11&lt;&gt;"",ISNUMBER(SEARCH(Skills!$B$11,AU18)))),1,0))</f>
        <v/>
      </c>
      <c r="BE18" s="23">
        <f>IF(AR18="","",IF(OR(TRIM(AL18&amp;"")&lt;&gt;"",AND(Skills!$B$12&lt;&gt;"",ISNUMBER(SEARCH(Skills!$B$12,AU18)))),1,0))</f>
        <v/>
      </c>
      <c r="BF18" s="23">
        <f>IF(AR18="","",IF(OR(TRIM(AM18&amp;"")&lt;&gt;"",AND(Skills!$B$13&lt;&gt;"",ISNUMBER(SEARCH(Skills!$B$13,AU18)))),1,0))</f>
        <v/>
      </c>
      <c r="BG18" s="23">
        <f>IF(AR18="","",IF(OR(TRIM(AN18&amp;"")&lt;&gt;"",AND(Skills!$B$14&lt;&gt;"",ISNUMBER(SEARCH(Skills!$B$14,AU18)))),1,0))</f>
        <v/>
      </c>
      <c r="BH18" s="23">
        <f>IF(AR18="","",IF(OR(TRIM(AO18&amp;"")&lt;&gt;"",AND(Skills!$B$15&lt;&gt;"",ISNUMBER(SEARCH(Skills!$B$15,AU18)))),1,0))</f>
        <v/>
      </c>
      <c r="BI18" s="23">
        <f>IF(AR18="","",IF(OR(TRIM(AP18&amp;"")&lt;&gt;"",AND(Skills!$B$16&lt;&gt;"",ISNUMBER(SEARCH(Skills!$B$16,AU18)))),1,0))</f>
        <v/>
      </c>
      <c r="BJ18" s="23">
        <f>IF(AR18="","",SUMPRODUCT($AX18:$BI18,Skills!$B$20:$M$20))</f>
        <v/>
      </c>
      <c r="BK18" s="23">
        <f>IF(AR18="","",BJ18*100000+(100000-ROW()))</f>
        <v/>
      </c>
      <c r="BL18" s="31">
        <f>IF(AR18="","",IF((IF(AND(AX18=1,Skills!$B$20=1),Skills!$B$5&amp;", ","")&amp;IF(AND(AY18=1,Skills!$C$20=1),Skills!$B$6&amp;", ","")&amp;IF(AND(AZ18=1,Skills!$D$20=1),Skills!$B$7&amp;", ","")&amp;IF(AND(BA18=1,Skills!$E$20=1),Skills!$B$8&amp;", ","")&amp;IF(AND(BB18=1,Skills!$F$20=1),Skills!$B$9&amp;", ","")&amp;IF(AND(BC18=1,Skills!$G$20=1),Skills!$B$10&amp;", ","")&amp;IF(AND(BD18=1,Skills!$H$20=1),Skills!$B$11&amp;", ","")&amp;IF(AND(BE18=1,Skills!$I$20=1),Skills!$B$12&amp;", ","")&amp;IF(AND(BF18=1,Skills!$J$20=1),Skills!$B$13&amp;", ","")&amp;IF(AND(BG18=1,Skills!$K$20=1),Skills!$B$14&amp;", ","")&amp;IF(AND(BH18=1,Skills!$L$20=1),Skills!$B$15&amp;", ","")&amp;IF(AND(BI18=1,Skills!$M$20=1),Skills!$B$16&amp;", ",""))="","",LEFT(IF(AND(AX18=1,Skills!$B$20=1),Skills!$B$5&amp;", ","")&amp;IF(AND(AY18=1,Skills!$C$20=1),Skills!$B$6&amp;", ","")&amp;IF(AND(AZ18=1,Skills!$D$20=1),Skills!$B$7&amp;", ","")&amp;IF(AND(BA18=1,Skills!$E$20=1),Skills!$B$8&amp;", ","")&amp;IF(AND(BB18=1,Skills!$F$20=1),Skills!$B$9&amp;", ","")&amp;IF(AND(BC18=1,Skills!$G$20=1),Skills!$B$10&amp;", ","")&amp;IF(AND(BD18=1,Skills!$H$20=1),Skills!$B$11&amp;", ","")&amp;IF(AND(BE18=1,Skills!$I$20=1),Skills!$B$12&amp;", ","")&amp;IF(AND(BF18=1,Skills!$J$20=1),Skills!$B$13&amp;", ","")&amp;IF(AND(BG18=1,Skills!$K$20=1),Skills!$B$14&amp;", ","")&amp;IF(AND(BH18=1,Skills!$L$20=1),Skills!$B$15&amp;", ","")&amp;IF(AND(BI18=1,Skills!$M$20=1),Skills!$B$16&amp;", ",""),LEN(IF(AND(AX18=1,Skills!$B$20=1),Skills!$B$5&amp;", ","")&amp;IF(AND(AY18=1,Skills!$C$20=1),Skills!$B$6&amp;", ","")&amp;IF(AND(AZ18=1,Skills!$D$20=1),Skills!$B$7&amp;", ","")&amp;IF(AND(BA18=1,Skills!$E$20=1),Skills!$B$8&amp;", ","")&amp;IF(AND(BB18=1,Skills!$F$20=1),Skills!$B$9&amp;", ","")&amp;IF(AND(BC18=1,Skills!$G$20=1),Skills!$B$10&amp;", ","")&amp;IF(AND(BD18=1,Skills!$H$20=1),Skills!$B$11&amp;", ","")&amp;IF(AND(BE18=1,Skills!$I$20=1),Skills!$B$12&amp;", ","")&amp;IF(AND(BF18=1,Skills!$J$20=1),Skills!$B$13&amp;", ","")&amp;IF(AND(BG18=1,Skills!$K$20=1),Skills!$B$14&amp;", ","")&amp;IF(AND(BH18=1,Skills!$L$20=1),Skills!$B$15&amp;", ","")&amp;IF(AND(BI18=1,Skills!$M$20=1),Skills!$B$16&amp;", ",""))-2)))</f>
        <v/>
      </c>
    </row>
    <row r="19">
      <c r="AD19" s="20" t="n"/>
      <c r="AE19" s="20" t="n"/>
      <c r="AF19" s="20" t="n"/>
      <c r="AG19" s="20" t="n"/>
      <c r="AH19" s="20" t="n"/>
      <c r="AI19" s="20" t="n"/>
      <c r="AJ19" s="20" t="n"/>
      <c r="AK19" s="20" t="n"/>
      <c r="AL19" s="20" t="n"/>
      <c r="AM19" s="20" t="n"/>
      <c r="AN19" s="20" t="n"/>
      <c r="AO19" s="20" t="n"/>
      <c r="AP19" s="20" t="n"/>
      <c r="AR19" s="31">
        <f>IF(IFERROR(TRIM(INDEX($A19:$AB19,MATCH(Lists!$B$5,$A$1:$AB$1,0))&amp;""),"")&lt;&gt;"",IFERROR(TRIM(INDEX($A19:$AB19,MATCH(Lists!$B$5,$A$1:$AB$1,0))&amp;""),""),IFERROR(TRIM(INDEX($A19:$AB19,MATCH(Lists!$B$3,$A$1:$AB$1,0))&amp;""),""))</f>
        <v/>
      </c>
      <c r="AS19" s="31">
        <f>IF(AR19="","",IF(IFERROR(TRIM(INDEX($A19:$AB19,MATCH(Lists!$B$5,$A$1:$AB$1,0))&amp;""),"")&lt;&gt;"","Nominated","Applied"))</f>
        <v/>
      </c>
      <c r="AT19" s="31">
        <f>IF(AR19="","",IF(IFERROR(TRIM(INDEX($A19:$AB19,MATCH(Lists!$B$5,$A$1:$AB$1,0))&amp;""),"")&lt;&gt;"",IFERROR(TRIM(INDEX($A19:$AB19,MATCH(Lists!$B$6,$A$1:$AB$1,0))&amp;""),""),IFERROR(TRIM(INDEX($A19:$AB19,MATCH(Lists!$B$4,$A$1:$AB$1,0))&amp;""),"")))</f>
        <v/>
      </c>
      <c r="AU19" s="31">
        <f>IF(AR19="","",IFERROR(TRIM(INDEX($A19:$AB19,MATCH(Lists!$B$7,$A$1:$AB$1,0))&amp;""),""))</f>
        <v/>
      </c>
      <c r="AV19" s="31">
        <f>IF(AR19="","",IFERROR(TRIM(INDEX($A19:$AB19,MATCH(Lists!$B$9,$A$1:$AB$1,0))&amp;""),""))</f>
        <v/>
      </c>
      <c r="AW19" s="31">
        <f>IF(AR19="","",IFERROR(TRIM(INDEX($A19:$AB19,MATCH(Lists!$B$8,$A$1:$AB$1,0))&amp;""),""))</f>
        <v/>
      </c>
      <c r="AX19" s="23">
        <f>IF(AR19="","",IF(OR(TRIM(AE19&amp;"")&lt;&gt;"",AND(Skills!$B$5&lt;&gt;"",ISNUMBER(SEARCH(Skills!$B$5,AU19)))),1,0))</f>
        <v/>
      </c>
      <c r="AY19" s="23">
        <f>IF(AR19="","",IF(OR(TRIM(AF19&amp;"")&lt;&gt;"",AND(Skills!$B$6&lt;&gt;"",ISNUMBER(SEARCH(Skills!$B$6,AU19)))),1,0))</f>
        <v/>
      </c>
      <c r="AZ19" s="23">
        <f>IF(AR19="","",IF(OR(TRIM(AG19&amp;"")&lt;&gt;"",AND(Skills!$B$7&lt;&gt;"",ISNUMBER(SEARCH(Skills!$B$7,AU19)))),1,0))</f>
        <v/>
      </c>
      <c r="BA19" s="23">
        <f>IF(AR19="","",IF(OR(TRIM(AH19&amp;"")&lt;&gt;"",AND(Skills!$B$8&lt;&gt;"",ISNUMBER(SEARCH(Skills!$B$8,AU19)))),1,0))</f>
        <v/>
      </c>
      <c r="BB19" s="23">
        <f>IF(AR19="","",IF(OR(TRIM(AI19&amp;"")&lt;&gt;"",AND(Skills!$B$9&lt;&gt;"",ISNUMBER(SEARCH(Skills!$B$9,AU19)))),1,0))</f>
        <v/>
      </c>
      <c r="BC19" s="23">
        <f>IF(AR19="","",IF(OR(TRIM(AJ19&amp;"")&lt;&gt;"",AND(Skills!$B$10&lt;&gt;"",ISNUMBER(SEARCH(Skills!$B$10,AU19)))),1,0))</f>
        <v/>
      </c>
      <c r="BD19" s="23">
        <f>IF(AR19="","",IF(OR(TRIM(AK19&amp;"")&lt;&gt;"",AND(Skills!$B$11&lt;&gt;"",ISNUMBER(SEARCH(Skills!$B$11,AU19)))),1,0))</f>
        <v/>
      </c>
      <c r="BE19" s="23">
        <f>IF(AR19="","",IF(OR(TRIM(AL19&amp;"")&lt;&gt;"",AND(Skills!$B$12&lt;&gt;"",ISNUMBER(SEARCH(Skills!$B$12,AU19)))),1,0))</f>
        <v/>
      </c>
      <c r="BF19" s="23">
        <f>IF(AR19="","",IF(OR(TRIM(AM19&amp;"")&lt;&gt;"",AND(Skills!$B$13&lt;&gt;"",ISNUMBER(SEARCH(Skills!$B$13,AU19)))),1,0))</f>
        <v/>
      </c>
      <c r="BG19" s="23">
        <f>IF(AR19="","",IF(OR(TRIM(AN19&amp;"")&lt;&gt;"",AND(Skills!$B$14&lt;&gt;"",ISNUMBER(SEARCH(Skills!$B$14,AU19)))),1,0))</f>
        <v/>
      </c>
      <c r="BH19" s="23">
        <f>IF(AR19="","",IF(OR(TRIM(AO19&amp;"")&lt;&gt;"",AND(Skills!$B$15&lt;&gt;"",ISNUMBER(SEARCH(Skills!$B$15,AU19)))),1,0))</f>
        <v/>
      </c>
      <c r="BI19" s="23">
        <f>IF(AR19="","",IF(OR(TRIM(AP19&amp;"")&lt;&gt;"",AND(Skills!$B$16&lt;&gt;"",ISNUMBER(SEARCH(Skills!$B$16,AU19)))),1,0))</f>
        <v/>
      </c>
      <c r="BJ19" s="23">
        <f>IF(AR19="","",SUMPRODUCT($AX19:$BI19,Skills!$B$20:$M$20))</f>
        <v/>
      </c>
      <c r="BK19" s="23">
        <f>IF(AR19="","",BJ19*100000+(100000-ROW()))</f>
        <v/>
      </c>
      <c r="BL19" s="31">
        <f>IF(AR19="","",IF((IF(AND(AX19=1,Skills!$B$20=1),Skills!$B$5&amp;", ","")&amp;IF(AND(AY19=1,Skills!$C$20=1),Skills!$B$6&amp;", ","")&amp;IF(AND(AZ19=1,Skills!$D$20=1),Skills!$B$7&amp;", ","")&amp;IF(AND(BA19=1,Skills!$E$20=1),Skills!$B$8&amp;", ","")&amp;IF(AND(BB19=1,Skills!$F$20=1),Skills!$B$9&amp;", ","")&amp;IF(AND(BC19=1,Skills!$G$20=1),Skills!$B$10&amp;", ","")&amp;IF(AND(BD19=1,Skills!$H$20=1),Skills!$B$11&amp;", ","")&amp;IF(AND(BE19=1,Skills!$I$20=1),Skills!$B$12&amp;", ","")&amp;IF(AND(BF19=1,Skills!$J$20=1),Skills!$B$13&amp;", ","")&amp;IF(AND(BG19=1,Skills!$K$20=1),Skills!$B$14&amp;", ","")&amp;IF(AND(BH19=1,Skills!$L$20=1),Skills!$B$15&amp;", ","")&amp;IF(AND(BI19=1,Skills!$M$20=1),Skills!$B$16&amp;", ",""))="","",LEFT(IF(AND(AX19=1,Skills!$B$20=1),Skills!$B$5&amp;", ","")&amp;IF(AND(AY19=1,Skills!$C$20=1),Skills!$B$6&amp;", ","")&amp;IF(AND(AZ19=1,Skills!$D$20=1),Skills!$B$7&amp;", ","")&amp;IF(AND(BA19=1,Skills!$E$20=1),Skills!$B$8&amp;", ","")&amp;IF(AND(BB19=1,Skills!$F$20=1),Skills!$B$9&amp;", ","")&amp;IF(AND(BC19=1,Skills!$G$20=1),Skills!$B$10&amp;", ","")&amp;IF(AND(BD19=1,Skills!$H$20=1),Skills!$B$11&amp;", ","")&amp;IF(AND(BE19=1,Skills!$I$20=1),Skills!$B$12&amp;", ","")&amp;IF(AND(BF19=1,Skills!$J$20=1),Skills!$B$13&amp;", ","")&amp;IF(AND(BG19=1,Skills!$K$20=1),Skills!$B$14&amp;", ","")&amp;IF(AND(BH19=1,Skills!$L$20=1),Skills!$B$15&amp;", ","")&amp;IF(AND(BI19=1,Skills!$M$20=1),Skills!$B$16&amp;", ",""),LEN(IF(AND(AX19=1,Skills!$B$20=1),Skills!$B$5&amp;", ","")&amp;IF(AND(AY19=1,Skills!$C$20=1),Skills!$B$6&amp;", ","")&amp;IF(AND(AZ19=1,Skills!$D$20=1),Skills!$B$7&amp;", ","")&amp;IF(AND(BA19=1,Skills!$E$20=1),Skills!$B$8&amp;", ","")&amp;IF(AND(BB19=1,Skills!$F$20=1),Skills!$B$9&amp;", ","")&amp;IF(AND(BC19=1,Skills!$G$20=1),Skills!$B$10&amp;", ","")&amp;IF(AND(BD19=1,Skills!$H$20=1),Skills!$B$11&amp;", ","")&amp;IF(AND(BE19=1,Skills!$I$20=1),Skills!$B$12&amp;", ","")&amp;IF(AND(BF19=1,Skills!$J$20=1),Skills!$B$13&amp;", ","")&amp;IF(AND(BG19=1,Skills!$K$20=1),Skills!$B$14&amp;", ","")&amp;IF(AND(BH19=1,Skills!$L$20=1),Skills!$B$15&amp;", ","")&amp;IF(AND(BI19=1,Skills!$M$20=1),Skills!$B$16&amp;", ",""))-2)))</f>
        <v/>
      </c>
    </row>
    <row r="20">
      <c r="AD20" s="20" t="n"/>
      <c r="AE20" s="20" t="n"/>
      <c r="AF20" s="20" t="n"/>
      <c r="AG20" s="20" t="n"/>
      <c r="AH20" s="20" t="n"/>
      <c r="AI20" s="20" t="n"/>
      <c r="AJ20" s="20" t="n"/>
      <c r="AK20" s="20" t="n"/>
      <c r="AL20" s="20" t="n"/>
      <c r="AM20" s="20" t="n"/>
      <c r="AN20" s="20" t="n"/>
      <c r="AO20" s="20" t="n"/>
      <c r="AP20" s="20" t="n"/>
      <c r="AR20" s="31">
        <f>IF(IFERROR(TRIM(INDEX($A20:$AB20,MATCH(Lists!$B$5,$A$1:$AB$1,0))&amp;""),"")&lt;&gt;"",IFERROR(TRIM(INDEX($A20:$AB20,MATCH(Lists!$B$5,$A$1:$AB$1,0))&amp;""),""),IFERROR(TRIM(INDEX($A20:$AB20,MATCH(Lists!$B$3,$A$1:$AB$1,0))&amp;""),""))</f>
        <v/>
      </c>
      <c r="AS20" s="31">
        <f>IF(AR20="","",IF(IFERROR(TRIM(INDEX($A20:$AB20,MATCH(Lists!$B$5,$A$1:$AB$1,0))&amp;""),"")&lt;&gt;"","Nominated","Applied"))</f>
        <v/>
      </c>
      <c r="AT20" s="31">
        <f>IF(AR20="","",IF(IFERROR(TRIM(INDEX($A20:$AB20,MATCH(Lists!$B$5,$A$1:$AB$1,0))&amp;""),"")&lt;&gt;"",IFERROR(TRIM(INDEX($A20:$AB20,MATCH(Lists!$B$6,$A$1:$AB$1,0))&amp;""),""),IFERROR(TRIM(INDEX($A20:$AB20,MATCH(Lists!$B$4,$A$1:$AB$1,0))&amp;""),"")))</f>
        <v/>
      </c>
      <c r="AU20" s="31">
        <f>IF(AR20="","",IFERROR(TRIM(INDEX($A20:$AB20,MATCH(Lists!$B$7,$A$1:$AB$1,0))&amp;""),""))</f>
        <v/>
      </c>
      <c r="AV20" s="31">
        <f>IF(AR20="","",IFERROR(TRIM(INDEX($A20:$AB20,MATCH(Lists!$B$9,$A$1:$AB$1,0))&amp;""),""))</f>
        <v/>
      </c>
      <c r="AW20" s="31">
        <f>IF(AR20="","",IFERROR(TRIM(INDEX($A20:$AB20,MATCH(Lists!$B$8,$A$1:$AB$1,0))&amp;""),""))</f>
        <v/>
      </c>
      <c r="AX20" s="23">
        <f>IF(AR20="","",IF(OR(TRIM(AE20&amp;"")&lt;&gt;"",AND(Skills!$B$5&lt;&gt;"",ISNUMBER(SEARCH(Skills!$B$5,AU20)))),1,0))</f>
        <v/>
      </c>
      <c r="AY20" s="23">
        <f>IF(AR20="","",IF(OR(TRIM(AF20&amp;"")&lt;&gt;"",AND(Skills!$B$6&lt;&gt;"",ISNUMBER(SEARCH(Skills!$B$6,AU20)))),1,0))</f>
        <v/>
      </c>
      <c r="AZ20" s="23">
        <f>IF(AR20="","",IF(OR(TRIM(AG20&amp;"")&lt;&gt;"",AND(Skills!$B$7&lt;&gt;"",ISNUMBER(SEARCH(Skills!$B$7,AU20)))),1,0))</f>
        <v/>
      </c>
      <c r="BA20" s="23">
        <f>IF(AR20="","",IF(OR(TRIM(AH20&amp;"")&lt;&gt;"",AND(Skills!$B$8&lt;&gt;"",ISNUMBER(SEARCH(Skills!$B$8,AU20)))),1,0))</f>
        <v/>
      </c>
      <c r="BB20" s="23">
        <f>IF(AR20="","",IF(OR(TRIM(AI20&amp;"")&lt;&gt;"",AND(Skills!$B$9&lt;&gt;"",ISNUMBER(SEARCH(Skills!$B$9,AU20)))),1,0))</f>
        <v/>
      </c>
      <c r="BC20" s="23">
        <f>IF(AR20="","",IF(OR(TRIM(AJ20&amp;"")&lt;&gt;"",AND(Skills!$B$10&lt;&gt;"",ISNUMBER(SEARCH(Skills!$B$10,AU20)))),1,0))</f>
        <v/>
      </c>
      <c r="BD20" s="23">
        <f>IF(AR20="","",IF(OR(TRIM(AK20&amp;"")&lt;&gt;"",AND(Skills!$B$11&lt;&gt;"",ISNUMBER(SEARCH(Skills!$B$11,AU20)))),1,0))</f>
        <v/>
      </c>
      <c r="BE20" s="23">
        <f>IF(AR20="","",IF(OR(TRIM(AL20&amp;"")&lt;&gt;"",AND(Skills!$B$12&lt;&gt;"",ISNUMBER(SEARCH(Skills!$B$12,AU20)))),1,0))</f>
        <v/>
      </c>
      <c r="BF20" s="23">
        <f>IF(AR20="","",IF(OR(TRIM(AM20&amp;"")&lt;&gt;"",AND(Skills!$B$13&lt;&gt;"",ISNUMBER(SEARCH(Skills!$B$13,AU20)))),1,0))</f>
        <v/>
      </c>
      <c r="BG20" s="23">
        <f>IF(AR20="","",IF(OR(TRIM(AN20&amp;"")&lt;&gt;"",AND(Skills!$B$14&lt;&gt;"",ISNUMBER(SEARCH(Skills!$B$14,AU20)))),1,0))</f>
        <v/>
      </c>
      <c r="BH20" s="23">
        <f>IF(AR20="","",IF(OR(TRIM(AO20&amp;"")&lt;&gt;"",AND(Skills!$B$15&lt;&gt;"",ISNUMBER(SEARCH(Skills!$B$15,AU20)))),1,0))</f>
        <v/>
      </c>
      <c r="BI20" s="23">
        <f>IF(AR20="","",IF(OR(TRIM(AP20&amp;"")&lt;&gt;"",AND(Skills!$B$16&lt;&gt;"",ISNUMBER(SEARCH(Skills!$B$16,AU20)))),1,0))</f>
        <v/>
      </c>
      <c r="BJ20" s="23">
        <f>IF(AR20="","",SUMPRODUCT($AX20:$BI20,Skills!$B$20:$M$20))</f>
        <v/>
      </c>
      <c r="BK20" s="23">
        <f>IF(AR20="","",BJ20*100000+(100000-ROW()))</f>
        <v/>
      </c>
      <c r="BL20" s="31">
        <f>IF(AR20="","",IF((IF(AND(AX20=1,Skills!$B$20=1),Skills!$B$5&amp;", ","")&amp;IF(AND(AY20=1,Skills!$C$20=1),Skills!$B$6&amp;", ","")&amp;IF(AND(AZ20=1,Skills!$D$20=1),Skills!$B$7&amp;", ","")&amp;IF(AND(BA20=1,Skills!$E$20=1),Skills!$B$8&amp;", ","")&amp;IF(AND(BB20=1,Skills!$F$20=1),Skills!$B$9&amp;", ","")&amp;IF(AND(BC20=1,Skills!$G$20=1),Skills!$B$10&amp;", ","")&amp;IF(AND(BD20=1,Skills!$H$20=1),Skills!$B$11&amp;", ","")&amp;IF(AND(BE20=1,Skills!$I$20=1),Skills!$B$12&amp;", ","")&amp;IF(AND(BF20=1,Skills!$J$20=1),Skills!$B$13&amp;", ","")&amp;IF(AND(BG20=1,Skills!$K$20=1),Skills!$B$14&amp;", ","")&amp;IF(AND(BH20=1,Skills!$L$20=1),Skills!$B$15&amp;", ","")&amp;IF(AND(BI20=1,Skills!$M$20=1),Skills!$B$16&amp;", ",""))="","",LEFT(IF(AND(AX20=1,Skills!$B$20=1),Skills!$B$5&amp;", ","")&amp;IF(AND(AY20=1,Skills!$C$20=1),Skills!$B$6&amp;", ","")&amp;IF(AND(AZ20=1,Skills!$D$20=1),Skills!$B$7&amp;", ","")&amp;IF(AND(BA20=1,Skills!$E$20=1),Skills!$B$8&amp;", ","")&amp;IF(AND(BB20=1,Skills!$F$20=1),Skills!$B$9&amp;", ","")&amp;IF(AND(BC20=1,Skills!$G$20=1),Skills!$B$10&amp;", ","")&amp;IF(AND(BD20=1,Skills!$H$20=1),Skills!$B$11&amp;", ","")&amp;IF(AND(BE20=1,Skills!$I$20=1),Skills!$B$12&amp;", ","")&amp;IF(AND(BF20=1,Skills!$J$20=1),Skills!$B$13&amp;", ","")&amp;IF(AND(BG20=1,Skills!$K$20=1),Skills!$B$14&amp;", ","")&amp;IF(AND(BH20=1,Skills!$L$20=1),Skills!$B$15&amp;", ","")&amp;IF(AND(BI20=1,Skills!$M$20=1),Skills!$B$16&amp;", ",""),LEN(IF(AND(AX20=1,Skills!$B$20=1),Skills!$B$5&amp;", ","")&amp;IF(AND(AY20=1,Skills!$C$20=1),Skills!$B$6&amp;", ","")&amp;IF(AND(AZ20=1,Skills!$D$20=1),Skills!$B$7&amp;", ","")&amp;IF(AND(BA20=1,Skills!$E$20=1),Skills!$B$8&amp;", ","")&amp;IF(AND(BB20=1,Skills!$F$20=1),Skills!$B$9&amp;", ","")&amp;IF(AND(BC20=1,Skills!$G$20=1),Skills!$B$10&amp;", ","")&amp;IF(AND(BD20=1,Skills!$H$20=1),Skills!$B$11&amp;", ","")&amp;IF(AND(BE20=1,Skills!$I$20=1),Skills!$B$12&amp;", ","")&amp;IF(AND(BF20=1,Skills!$J$20=1),Skills!$B$13&amp;", ","")&amp;IF(AND(BG20=1,Skills!$K$20=1),Skills!$B$14&amp;", ","")&amp;IF(AND(BH20=1,Skills!$L$20=1),Skills!$B$15&amp;", ","")&amp;IF(AND(BI20=1,Skills!$M$20=1),Skills!$B$16&amp;", ",""))-2)))</f>
        <v/>
      </c>
    </row>
    <row r="21">
      <c r="AD21" s="20" t="n"/>
      <c r="AE21" s="20" t="n"/>
      <c r="AF21" s="20" t="n"/>
      <c r="AG21" s="20" t="n"/>
      <c r="AH21" s="20" t="n"/>
      <c r="AI21" s="20" t="n"/>
      <c r="AJ21" s="20" t="n"/>
      <c r="AK21" s="20" t="n"/>
      <c r="AL21" s="20" t="n"/>
      <c r="AM21" s="20" t="n"/>
      <c r="AN21" s="20" t="n"/>
      <c r="AO21" s="20" t="n"/>
      <c r="AP21" s="20" t="n"/>
      <c r="AR21" s="31">
        <f>IF(IFERROR(TRIM(INDEX($A21:$AB21,MATCH(Lists!$B$5,$A$1:$AB$1,0))&amp;""),"")&lt;&gt;"",IFERROR(TRIM(INDEX($A21:$AB21,MATCH(Lists!$B$5,$A$1:$AB$1,0))&amp;""),""),IFERROR(TRIM(INDEX($A21:$AB21,MATCH(Lists!$B$3,$A$1:$AB$1,0))&amp;""),""))</f>
        <v/>
      </c>
      <c r="AS21" s="31">
        <f>IF(AR21="","",IF(IFERROR(TRIM(INDEX($A21:$AB21,MATCH(Lists!$B$5,$A$1:$AB$1,0))&amp;""),"")&lt;&gt;"","Nominated","Applied"))</f>
        <v/>
      </c>
      <c r="AT21" s="31">
        <f>IF(AR21="","",IF(IFERROR(TRIM(INDEX($A21:$AB21,MATCH(Lists!$B$5,$A$1:$AB$1,0))&amp;""),"")&lt;&gt;"",IFERROR(TRIM(INDEX($A21:$AB21,MATCH(Lists!$B$6,$A$1:$AB$1,0))&amp;""),""),IFERROR(TRIM(INDEX($A21:$AB21,MATCH(Lists!$B$4,$A$1:$AB$1,0))&amp;""),"")))</f>
        <v/>
      </c>
      <c r="AU21" s="31">
        <f>IF(AR21="","",IFERROR(TRIM(INDEX($A21:$AB21,MATCH(Lists!$B$7,$A$1:$AB$1,0))&amp;""),""))</f>
        <v/>
      </c>
      <c r="AV21" s="31">
        <f>IF(AR21="","",IFERROR(TRIM(INDEX($A21:$AB21,MATCH(Lists!$B$9,$A$1:$AB$1,0))&amp;""),""))</f>
        <v/>
      </c>
      <c r="AW21" s="31">
        <f>IF(AR21="","",IFERROR(TRIM(INDEX($A21:$AB21,MATCH(Lists!$B$8,$A$1:$AB$1,0))&amp;""),""))</f>
        <v/>
      </c>
      <c r="AX21" s="23">
        <f>IF(AR21="","",IF(OR(TRIM(AE21&amp;"")&lt;&gt;"",AND(Skills!$B$5&lt;&gt;"",ISNUMBER(SEARCH(Skills!$B$5,AU21)))),1,0))</f>
        <v/>
      </c>
      <c r="AY21" s="23">
        <f>IF(AR21="","",IF(OR(TRIM(AF21&amp;"")&lt;&gt;"",AND(Skills!$B$6&lt;&gt;"",ISNUMBER(SEARCH(Skills!$B$6,AU21)))),1,0))</f>
        <v/>
      </c>
      <c r="AZ21" s="23">
        <f>IF(AR21="","",IF(OR(TRIM(AG21&amp;"")&lt;&gt;"",AND(Skills!$B$7&lt;&gt;"",ISNUMBER(SEARCH(Skills!$B$7,AU21)))),1,0))</f>
        <v/>
      </c>
      <c r="BA21" s="23">
        <f>IF(AR21="","",IF(OR(TRIM(AH21&amp;"")&lt;&gt;"",AND(Skills!$B$8&lt;&gt;"",ISNUMBER(SEARCH(Skills!$B$8,AU21)))),1,0))</f>
        <v/>
      </c>
      <c r="BB21" s="23">
        <f>IF(AR21="","",IF(OR(TRIM(AI21&amp;"")&lt;&gt;"",AND(Skills!$B$9&lt;&gt;"",ISNUMBER(SEARCH(Skills!$B$9,AU21)))),1,0))</f>
        <v/>
      </c>
      <c r="BC21" s="23">
        <f>IF(AR21="","",IF(OR(TRIM(AJ21&amp;"")&lt;&gt;"",AND(Skills!$B$10&lt;&gt;"",ISNUMBER(SEARCH(Skills!$B$10,AU21)))),1,0))</f>
        <v/>
      </c>
      <c r="BD21" s="23">
        <f>IF(AR21="","",IF(OR(TRIM(AK21&amp;"")&lt;&gt;"",AND(Skills!$B$11&lt;&gt;"",ISNUMBER(SEARCH(Skills!$B$11,AU21)))),1,0))</f>
        <v/>
      </c>
      <c r="BE21" s="23">
        <f>IF(AR21="","",IF(OR(TRIM(AL21&amp;"")&lt;&gt;"",AND(Skills!$B$12&lt;&gt;"",ISNUMBER(SEARCH(Skills!$B$12,AU21)))),1,0))</f>
        <v/>
      </c>
      <c r="BF21" s="23">
        <f>IF(AR21="","",IF(OR(TRIM(AM21&amp;"")&lt;&gt;"",AND(Skills!$B$13&lt;&gt;"",ISNUMBER(SEARCH(Skills!$B$13,AU21)))),1,0))</f>
        <v/>
      </c>
      <c r="BG21" s="23">
        <f>IF(AR21="","",IF(OR(TRIM(AN21&amp;"")&lt;&gt;"",AND(Skills!$B$14&lt;&gt;"",ISNUMBER(SEARCH(Skills!$B$14,AU21)))),1,0))</f>
        <v/>
      </c>
      <c r="BH21" s="23">
        <f>IF(AR21="","",IF(OR(TRIM(AO21&amp;"")&lt;&gt;"",AND(Skills!$B$15&lt;&gt;"",ISNUMBER(SEARCH(Skills!$B$15,AU21)))),1,0))</f>
        <v/>
      </c>
      <c r="BI21" s="23">
        <f>IF(AR21="","",IF(OR(TRIM(AP21&amp;"")&lt;&gt;"",AND(Skills!$B$16&lt;&gt;"",ISNUMBER(SEARCH(Skills!$B$16,AU21)))),1,0))</f>
        <v/>
      </c>
      <c r="BJ21" s="23">
        <f>IF(AR21="","",SUMPRODUCT($AX21:$BI21,Skills!$B$20:$M$20))</f>
        <v/>
      </c>
      <c r="BK21" s="23">
        <f>IF(AR21="","",BJ21*100000+(100000-ROW()))</f>
        <v/>
      </c>
      <c r="BL21" s="31">
        <f>IF(AR21="","",IF((IF(AND(AX21=1,Skills!$B$20=1),Skills!$B$5&amp;", ","")&amp;IF(AND(AY21=1,Skills!$C$20=1),Skills!$B$6&amp;", ","")&amp;IF(AND(AZ21=1,Skills!$D$20=1),Skills!$B$7&amp;", ","")&amp;IF(AND(BA21=1,Skills!$E$20=1),Skills!$B$8&amp;", ","")&amp;IF(AND(BB21=1,Skills!$F$20=1),Skills!$B$9&amp;", ","")&amp;IF(AND(BC21=1,Skills!$G$20=1),Skills!$B$10&amp;", ","")&amp;IF(AND(BD21=1,Skills!$H$20=1),Skills!$B$11&amp;", ","")&amp;IF(AND(BE21=1,Skills!$I$20=1),Skills!$B$12&amp;", ","")&amp;IF(AND(BF21=1,Skills!$J$20=1),Skills!$B$13&amp;", ","")&amp;IF(AND(BG21=1,Skills!$K$20=1),Skills!$B$14&amp;", ","")&amp;IF(AND(BH21=1,Skills!$L$20=1),Skills!$B$15&amp;", ","")&amp;IF(AND(BI21=1,Skills!$M$20=1),Skills!$B$16&amp;", ",""))="","",LEFT(IF(AND(AX21=1,Skills!$B$20=1),Skills!$B$5&amp;", ","")&amp;IF(AND(AY21=1,Skills!$C$20=1),Skills!$B$6&amp;", ","")&amp;IF(AND(AZ21=1,Skills!$D$20=1),Skills!$B$7&amp;", ","")&amp;IF(AND(BA21=1,Skills!$E$20=1),Skills!$B$8&amp;", ","")&amp;IF(AND(BB21=1,Skills!$F$20=1),Skills!$B$9&amp;", ","")&amp;IF(AND(BC21=1,Skills!$G$20=1),Skills!$B$10&amp;", ","")&amp;IF(AND(BD21=1,Skills!$H$20=1),Skills!$B$11&amp;", ","")&amp;IF(AND(BE21=1,Skills!$I$20=1),Skills!$B$12&amp;", ","")&amp;IF(AND(BF21=1,Skills!$J$20=1),Skills!$B$13&amp;", ","")&amp;IF(AND(BG21=1,Skills!$K$20=1),Skills!$B$14&amp;", ","")&amp;IF(AND(BH21=1,Skills!$L$20=1),Skills!$B$15&amp;", ","")&amp;IF(AND(BI21=1,Skills!$M$20=1),Skills!$B$16&amp;", ",""),LEN(IF(AND(AX21=1,Skills!$B$20=1),Skills!$B$5&amp;", ","")&amp;IF(AND(AY21=1,Skills!$C$20=1),Skills!$B$6&amp;", ","")&amp;IF(AND(AZ21=1,Skills!$D$20=1),Skills!$B$7&amp;", ","")&amp;IF(AND(BA21=1,Skills!$E$20=1),Skills!$B$8&amp;", ","")&amp;IF(AND(BB21=1,Skills!$F$20=1),Skills!$B$9&amp;", ","")&amp;IF(AND(BC21=1,Skills!$G$20=1),Skills!$B$10&amp;", ","")&amp;IF(AND(BD21=1,Skills!$H$20=1),Skills!$B$11&amp;", ","")&amp;IF(AND(BE21=1,Skills!$I$20=1),Skills!$B$12&amp;", ","")&amp;IF(AND(BF21=1,Skills!$J$20=1),Skills!$B$13&amp;", ","")&amp;IF(AND(BG21=1,Skills!$K$20=1),Skills!$B$14&amp;", ","")&amp;IF(AND(BH21=1,Skills!$L$20=1),Skills!$B$15&amp;", ","")&amp;IF(AND(BI21=1,Skills!$M$20=1),Skills!$B$16&amp;", ",""))-2)))</f>
        <v/>
      </c>
    </row>
    <row r="22">
      <c r="AD22" s="20" t="n"/>
      <c r="AE22" s="20" t="n"/>
      <c r="AF22" s="20" t="n"/>
      <c r="AG22" s="20" t="n"/>
      <c r="AH22" s="20" t="n"/>
      <c r="AI22" s="20" t="n"/>
      <c r="AJ22" s="20" t="n"/>
      <c r="AK22" s="20" t="n"/>
      <c r="AL22" s="20" t="n"/>
      <c r="AM22" s="20" t="n"/>
      <c r="AN22" s="20" t="n"/>
      <c r="AO22" s="20" t="n"/>
      <c r="AP22" s="20" t="n"/>
      <c r="AR22" s="31">
        <f>IF(IFERROR(TRIM(INDEX($A22:$AB22,MATCH(Lists!$B$5,$A$1:$AB$1,0))&amp;""),"")&lt;&gt;"",IFERROR(TRIM(INDEX($A22:$AB22,MATCH(Lists!$B$5,$A$1:$AB$1,0))&amp;""),""),IFERROR(TRIM(INDEX($A22:$AB22,MATCH(Lists!$B$3,$A$1:$AB$1,0))&amp;""),""))</f>
        <v/>
      </c>
      <c r="AS22" s="31">
        <f>IF(AR22="","",IF(IFERROR(TRIM(INDEX($A22:$AB22,MATCH(Lists!$B$5,$A$1:$AB$1,0))&amp;""),"")&lt;&gt;"","Nominated","Applied"))</f>
        <v/>
      </c>
      <c r="AT22" s="31">
        <f>IF(AR22="","",IF(IFERROR(TRIM(INDEX($A22:$AB22,MATCH(Lists!$B$5,$A$1:$AB$1,0))&amp;""),"")&lt;&gt;"",IFERROR(TRIM(INDEX($A22:$AB22,MATCH(Lists!$B$6,$A$1:$AB$1,0))&amp;""),""),IFERROR(TRIM(INDEX($A22:$AB22,MATCH(Lists!$B$4,$A$1:$AB$1,0))&amp;""),"")))</f>
        <v/>
      </c>
      <c r="AU22" s="31">
        <f>IF(AR22="","",IFERROR(TRIM(INDEX($A22:$AB22,MATCH(Lists!$B$7,$A$1:$AB$1,0))&amp;""),""))</f>
        <v/>
      </c>
      <c r="AV22" s="31">
        <f>IF(AR22="","",IFERROR(TRIM(INDEX($A22:$AB22,MATCH(Lists!$B$9,$A$1:$AB$1,0))&amp;""),""))</f>
        <v/>
      </c>
      <c r="AW22" s="31">
        <f>IF(AR22="","",IFERROR(TRIM(INDEX($A22:$AB22,MATCH(Lists!$B$8,$A$1:$AB$1,0))&amp;""),""))</f>
        <v/>
      </c>
      <c r="AX22" s="23">
        <f>IF(AR22="","",IF(OR(TRIM(AE22&amp;"")&lt;&gt;"",AND(Skills!$B$5&lt;&gt;"",ISNUMBER(SEARCH(Skills!$B$5,AU22)))),1,0))</f>
        <v/>
      </c>
      <c r="AY22" s="23">
        <f>IF(AR22="","",IF(OR(TRIM(AF22&amp;"")&lt;&gt;"",AND(Skills!$B$6&lt;&gt;"",ISNUMBER(SEARCH(Skills!$B$6,AU22)))),1,0))</f>
        <v/>
      </c>
      <c r="AZ22" s="23">
        <f>IF(AR22="","",IF(OR(TRIM(AG22&amp;"")&lt;&gt;"",AND(Skills!$B$7&lt;&gt;"",ISNUMBER(SEARCH(Skills!$B$7,AU22)))),1,0))</f>
        <v/>
      </c>
      <c r="BA22" s="23">
        <f>IF(AR22="","",IF(OR(TRIM(AH22&amp;"")&lt;&gt;"",AND(Skills!$B$8&lt;&gt;"",ISNUMBER(SEARCH(Skills!$B$8,AU22)))),1,0))</f>
        <v/>
      </c>
      <c r="BB22" s="23">
        <f>IF(AR22="","",IF(OR(TRIM(AI22&amp;"")&lt;&gt;"",AND(Skills!$B$9&lt;&gt;"",ISNUMBER(SEARCH(Skills!$B$9,AU22)))),1,0))</f>
        <v/>
      </c>
      <c r="BC22" s="23">
        <f>IF(AR22="","",IF(OR(TRIM(AJ22&amp;"")&lt;&gt;"",AND(Skills!$B$10&lt;&gt;"",ISNUMBER(SEARCH(Skills!$B$10,AU22)))),1,0))</f>
        <v/>
      </c>
      <c r="BD22" s="23">
        <f>IF(AR22="","",IF(OR(TRIM(AK22&amp;"")&lt;&gt;"",AND(Skills!$B$11&lt;&gt;"",ISNUMBER(SEARCH(Skills!$B$11,AU22)))),1,0))</f>
        <v/>
      </c>
      <c r="BE22" s="23">
        <f>IF(AR22="","",IF(OR(TRIM(AL22&amp;"")&lt;&gt;"",AND(Skills!$B$12&lt;&gt;"",ISNUMBER(SEARCH(Skills!$B$12,AU22)))),1,0))</f>
        <v/>
      </c>
      <c r="BF22" s="23">
        <f>IF(AR22="","",IF(OR(TRIM(AM22&amp;"")&lt;&gt;"",AND(Skills!$B$13&lt;&gt;"",ISNUMBER(SEARCH(Skills!$B$13,AU22)))),1,0))</f>
        <v/>
      </c>
      <c r="BG22" s="23">
        <f>IF(AR22="","",IF(OR(TRIM(AN22&amp;"")&lt;&gt;"",AND(Skills!$B$14&lt;&gt;"",ISNUMBER(SEARCH(Skills!$B$14,AU22)))),1,0))</f>
        <v/>
      </c>
      <c r="BH22" s="23">
        <f>IF(AR22="","",IF(OR(TRIM(AO22&amp;"")&lt;&gt;"",AND(Skills!$B$15&lt;&gt;"",ISNUMBER(SEARCH(Skills!$B$15,AU22)))),1,0))</f>
        <v/>
      </c>
      <c r="BI22" s="23">
        <f>IF(AR22="","",IF(OR(TRIM(AP22&amp;"")&lt;&gt;"",AND(Skills!$B$16&lt;&gt;"",ISNUMBER(SEARCH(Skills!$B$16,AU22)))),1,0))</f>
        <v/>
      </c>
      <c r="BJ22" s="23">
        <f>IF(AR22="","",SUMPRODUCT($AX22:$BI22,Skills!$B$20:$M$20))</f>
        <v/>
      </c>
      <c r="BK22" s="23">
        <f>IF(AR22="","",BJ22*100000+(100000-ROW()))</f>
        <v/>
      </c>
      <c r="BL22" s="31">
        <f>IF(AR22="","",IF((IF(AND(AX22=1,Skills!$B$20=1),Skills!$B$5&amp;", ","")&amp;IF(AND(AY22=1,Skills!$C$20=1),Skills!$B$6&amp;", ","")&amp;IF(AND(AZ22=1,Skills!$D$20=1),Skills!$B$7&amp;", ","")&amp;IF(AND(BA22=1,Skills!$E$20=1),Skills!$B$8&amp;", ","")&amp;IF(AND(BB22=1,Skills!$F$20=1),Skills!$B$9&amp;", ","")&amp;IF(AND(BC22=1,Skills!$G$20=1),Skills!$B$10&amp;", ","")&amp;IF(AND(BD22=1,Skills!$H$20=1),Skills!$B$11&amp;", ","")&amp;IF(AND(BE22=1,Skills!$I$20=1),Skills!$B$12&amp;", ","")&amp;IF(AND(BF22=1,Skills!$J$20=1),Skills!$B$13&amp;", ","")&amp;IF(AND(BG22=1,Skills!$K$20=1),Skills!$B$14&amp;", ","")&amp;IF(AND(BH22=1,Skills!$L$20=1),Skills!$B$15&amp;", ","")&amp;IF(AND(BI22=1,Skills!$M$20=1),Skills!$B$16&amp;", ",""))="","",LEFT(IF(AND(AX22=1,Skills!$B$20=1),Skills!$B$5&amp;", ","")&amp;IF(AND(AY22=1,Skills!$C$20=1),Skills!$B$6&amp;", ","")&amp;IF(AND(AZ22=1,Skills!$D$20=1),Skills!$B$7&amp;", ","")&amp;IF(AND(BA22=1,Skills!$E$20=1),Skills!$B$8&amp;", ","")&amp;IF(AND(BB22=1,Skills!$F$20=1),Skills!$B$9&amp;", ","")&amp;IF(AND(BC22=1,Skills!$G$20=1),Skills!$B$10&amp;", ","")&amp;IF(AND(BD22=1,Skills!$H$20=1),Skills!$B$11&amp;", ","")&amp;IF(AND(BE22=1,Skills!$I$20=1),Skills!$B$12&amp;", ","")&amp;IF(AND(BF22=1,Skills!$J$20=1),Skills!$B$13&amp;", ","")&amp;IF(AND(BG22=1,Skills!$K$20=1),Skills!$B$14&amp;", ","")&amp;IF(AND(BH22=1,Skills!$L$20=1),Skills!$B$15&amp;", ","")&amp;IF(AND(BI22=1,Skills!$M$20=1),Skills!$B$16&amp;", ",""),LEN(IF(AND(AX22=1,Skills!$B$20=1),Skills!$B$5&amp;", ","")&amp;IF(AND(AY22=1,Skills!$C$20=1),Skills!$B$6&amp;", ","")&amp;IF(AND(AZ22=1,Skills!$D$20=1),Skills!$B$7&amp;", ","")&amp;IF(AND(BA22=1,Skills!$E$20=1),Skills!$B$8&amp;", ","")&amp;IF(AND(BB22=1,Skills!$F$20=1),Skills!$B$9&amp;", ","")&amp;IF(AND(BC22=1,Skills!$G$20=1),Skills!$B$10&amp;", ","")&amp;IF(AND(BD22=1,Skills!$H$20=1),Skills!$B$11&amp;", ","")&amp;IF(AND(BE22=1,Skills!$I$20=1),Skills!$B$12&amp;", ","")&amp;IF(AND(BF22=1,Skills!$J$20=1),Skills!$B$13&amp;", ","")&amp;IF(AND(BG22=1,Skills!$K$20=1),Skills!$B$14&amp;", ","")&amp;IF(AND(BH22=1,Skills!$L$20=1),Skills!$B$15&amp;", ","")&amp;IF(AND(BI22=1,Skills!$M$20=1),Skills!$B$16&amp;", ",""))-2)))</f>
        <v/>
      </c>
    </row>
    <row r="23">
      <c r="AD23" s="20" t="n"/>
      <c r="AE23" s="20" t="n"/>
      <c r="AF23" s="20" t="n"/>
      <c r="AG23" s="20" t="n"/>
      <c r="AH23" s="20" t="n"/>
      <c r="AI23" s="20" t="n"/>
      <c r="AJ23" s="20" t="n"/>
      <c r="AK23" s="20" t="n"/>
      <c r="AL23" s="20" t="n"/>
      <c r="AM23" s="20" t="n"/>
      <c r="AN23" s="20" t="n"/>
      <c r="AO23" s="20" t="n"/>
      <c r="AP23" s="20" t="n"/>
      <c r="AR23" s="31">
        <f>IF(IFERROR(TRIM(INDEX($A23:$AB23,MATCH(Lists!$B$5,$A$1:$AB$1,0))&amp;""),"")&lt;&gt;"",IFERROR(TRIM(INDEX($A23:$AB23,MATCH(Lists!$B$5,$A$1:$AB$1,0))&amp;""),""),IFERROR(TRIM(INDEX($A23:$AB23,MATCH(Lists!$B$3,$A$1:$AB$1,0))&amp;""),""))</f>
        <v/>
      </c>
      <c r="AS23" s="31">
        <f>IF(AR23="","",IF(IFERROR(TRIM(INDEX($A23:$AB23,MATCH(Lists!$B$5,$A$1:$AB$1,0))&amp;""),"")&lt;&gt;"","Nominated","Applied"))</f>
        <v/>
      </c>
      <c r="AT23" s="31">
        <f>IF(AR23="","",IF(IFERROR(TRIM(INDEX($A23:$AB23,MATCH(Lists!$B$5,$A$1:$AB$1,0))&amp;""),"")&lt;&gt;"",IFERROR(TRIM(INDEX($A23:$AB23,MATCH(Lists!$B$6,$A$1:$AB$1,0))&amp;""),""),IFERROR(TRIM(INDEX($A23:$AB23,MATCH(Lists!$B$4,$A$1:$AB$1,0))&amp;""),"")))</f>
        <v/>
      </c>
      <c r="AU23" s="31">
        <f>IF(AR23="","",IFERROR(TRIM(INDEX($A23:$AB23,MATCH(Lists!$B$7,$A$1:$AB$1,0))&amp;""),""))</f>
        <v/>
      </c>
      <c r="AV23" s="31">
        <f>IF(AR23="","",IFERROR(TRIM(INDEX($A23:$AB23,MATCH(Lists!$B$9,$A$1:$AB$1,0))&amp;""),""))</f>
        <v/>
      </c>
      <c r="AW23" s="31">
        <f>IF(AR23="","",IFERROR(TRIM(INDEX($A23:$AB23,MATCH(Lists!$B$8,$A$1:$AB$1,0))&amp;""),""))</f>
        <v/>
      </c>
      <c r="AX23" s="23">
        <f>IF(AR23="","",IF(OR(TRIM(AE23&amp;"")&lt;&gt;"",AND(Skills!$B$5&lt;&gt;"",ISNUMBER(SEARCH(Skills!$B$5,AU23)))),1,0))</f>
        <v/>
      </c>
      <c r="AY23" s="23">
        <f>IF(AR23="","",IF(OR(TRIM(AF23&amp;"")&lt;&gt;"",AND(Skills!$B$6&lt;&gt;"",ISNUMBER(SEARCH(Skills!$B$6,AU23)))),1,0))</f>
        <v/>
      </c>
      <c r="AZ23" s="23">
        <f>IF(AR23="","",IF(OR(TRIM(AG23&amp;"")&lt;&gt;"",AND(Skills!$B$7&lt;&gt;"",ISNUMBER(SEARCH(Skills!$B$7,AU23)))),1,0))</f>
        <v/>
      </c>
      <c r="BA23" s="23">
        <f>IF(AR23="","",IF(OR(TRIM(AH23&amp;"")&lt;&gt;"",AND(Skills!$B$8&lt;&gt;"",ISNUMBER(SEARCH(Skills!$B$8,AU23)))),1,0))</f>
        <v/>
      </c>
      <c r="BB23" s="23">
        <f>IF(AR23="","",IF(OR(TRIM(AI23&amp;"")&lt;&gt;"",AND(Skills!$B$9&lt;&gt;"",ISNUMBER(SEARCH(Skills!$B$9,AU23)))),1,0))</f>
        <v/>
      </c>
      <c r="BC23" s="23">
        <f>IF(AR23="","",IF(OR(TRIM(AJ23&amp;"")&lt;&gt;"",AND(Skills!$B$10&lt;&gt;"",ISNUMBER(SEARCH(Skills!$B$10,AU23)))),1,0))</f>
        <v/>
      </c>
      <c r="BD23" s="23">
        <f>IF(AR23="","",IF(OR(TRIM(AK23&amp;"")&lt;&gt;"",AND(Skills!$B$11&lt;&gt;"",ISNUMBER(SEARCH(Skills!$B$11,AU23)))),1,0))</f>
        <v/>
      </c>
      <c r="BE23" s="23">
        <f>IF(AR23="","",IF(OR(TRIM(AL23&amp;"")&lt;&gt;"",AND(Skills!$B$12&lt;&gt;"",ISNUMBER(SEARCH(Skills!$B$12,AU23)))),1,0))</f>
        <v/>
      </c>
      <c r="BF23" s="23">
        <f>IF(AR23="","",IF(OR(TRIM(AM23&amp;"")&lt;&gt;"",AND(Skills!$B$13&lt;&gt;"",ISNUMBER(SEARCH(Skills!$B$13,AU23)))),1,0))</f>
        <v/>
      </c>
      <c r="BG23" s="23">
        <f>IF(AR23="","",IF(OR(TRIM(AN23&amp;"")&lt;&gt;"",AND(Skills!$B$14&lt;&gt;"",ISNUMBER(SEARCH(Skills!$B$14,AU23)))),1,0))</f>
        <v/>
      </c>
      <c r="BH23" s="23">
        <f>IF(AR23="","",IF(OR(TRIM(AO23&amp;"")&lt;&gt;"",AND(Skills!$B$15&lt;&gt;"",ISNUMBER(SEARCH(Skills!$B$15,AU23)))),1,0))</f>
        <v/>
      </c>
      <c r="BI23" s="23">
        <f>IF(AR23="","",IF(OR(TRIM(AP23&amp;"")&lt;&gt;"",AND(Skills!$B$16&lt;&gt;"",ISNUMBER(SEARCH(Skills!$B$16,AU23)))),1,0))</f>
        <v/>
      </c>
      <c r="BJ23" s="23">
        <f>IF(AR23="","",SUMPRODUCT($AX23:$BI23,Skills!$B$20:$M$20))</f>
        <v/>
      </c>
      <c r="BK23" s="23">
        <f>IF(AR23="","",BJ23*100000+(100000-ROW()))</f>
        <v/>
      </c>
      <c r="BL23" s="31">
        <f>IF(AR23="","",IF((IF(AND(AX23=1,Skills!$B$20=1),Skills!$B$5&amp;", ","")&amp;IF(AND(AY23=1,Skills!$C$20=1),Skills!$B$6&amp;", ","")&amp;IF(AND(AZ23=1,Skills!$D$20=1),Skills!$B$7&amp;", ","")&amp;IF(AND(BA23=1,Skills!$E$20=1),Skills!$B$8&amp;", ","")&amp;IF(AND(BB23=1,Skills!$F$20=1),Skills!$B$9&amp;", ","")&amp;IF(AND(BC23=1,Skills!$G$20=1),Skills!$B$10&amp;", ","")&amp;IF(AND(BD23=1,Skills!$H$20=1),Skills!$B$11&amp;", ","")&amp;IF(AND(BE23=1,Skills!$I$20=1),Skills!$B$12&amp;", ","")&amp;IF(AND(BF23=1,Skills!$J$20=1),Skills!$B$13&amp;", ","")&amp;IF(AND(BG23=1,Skills!$K$20=1),Skills!$B$14&amp;", ","")&amp;IF(AND(BH23=1,Skills!$L$20=1),Skills!$B$15&amp;", ","")&amp;IF(AND(BI23=1,Skills!$M$20=1),Skills!$B$16&amp;", ",""))="","",LEFT(IF(AND(AX23=1,Skills!$B$20=1),Skills!$B$5&amp;", ","")&amp;IF(AND(AY23=1,Skills!$C$20=1),Skills!$B$6&amp;", ","")&amp;IF(AND(AZ23=1,Skills!$D$20=1),Skills!$B$7&amp;", ","")&amp;IF(AND(BA23=1,Skills!$E$20=1),Skills!$B$8&amp;", ","")&amp;IF(AND(BB23=1,Skills!$F$20=1),Skills!$B$9&amp;", ","")&amp;IF(AND(BC23=1,Skills!$G$20=1),Skills!$B$10&amp;", ","")&amp;IF(AND(BD23=1,Skills!$H$20=1),Skills!$B$11&amp;", ","")&amp;IF(AND(BE23=1,Skills!$I$20=1),Skills!$B$12&amp;", ","")&amp;IF(AND(BF23=1,Skills!$J$20=1),Skills!$B$13&amp;", ","")&amp;IF(AND(BG23=1,Skills!$K$20=1),Skills!$B$14&amp;", ","")&amp;IF(AND(BH23=1,Skills!$L$20=1),Skills!$B$15&amp;", ","")&amp;IF(AND(BI23=1,Skills!$M$20=1),Skills!$B$16&amp;", ",""),LEN(IF(AND(AX23=1,Skills!$B$20=1),Skills!$B$5&amp;", ","")&amp;IF(AND(AY23=1,Skills!$C$20=1),Skills!$B$6&amp;", ","")&amp;IF(AND(AZ23=1,Skills!$D$20=1),Skills!$B$7&amp;", ","")&amp;IF(AND(BA23=1,Skills!$E$20=1),Skills!$B$8&amp;", ","")&amp;IF(AND(BB23=1,Skills!$F$20=1),Skills!$B$9&amp;", ","")&amp;IF(AND(BC23=1,Skills!$G$20=1),Skills!$B$10&amp;", ","")&amp;IF(AND(BD23=1,Skills!$H$20=1),Skills!$B$11&amp;", ","")&amp;IF(AND(BE23=1,Skills!$I$20=1),Skills!$B$12&amp;", ","")&amp;IF(AND(BF23=1,Skills!$J$20=1),Skills!$B$13&amp;", ","")&amp;IF(AND(BG23=1,Skills!$K$20=1),Skills!$B$14&amp;", ","")&amp;IF(AND(BH23=1,Skills!$L$20=1),Skills!$B$15&amp;", ","")&amp;IF(AND(BI23=1,Skills!$M$20=1),Skills!$B$16&amp;", ",""))-2)))</f>
        <v/>
      </c>
    </row>
    <row r="24">
      <c r="AD24" s="20" t="n"/>
      <c r="AE24" s="20" t="n"/>
      <c r="AF24" s="20" t="n"/>
      <c r="AG24" s="20" t="n"/>
      <c r="AH24" s="20" t="n"/>
      <c r="AI24" s="20" t="n"/>
      <c r="AJ24" s="20" t="n"/>
      <c r="AK24" s="20" t="n"/>
      <c r="AL24" s="20" t="n"/>
      <c r="AM24" s="20" t="n"/>
      <c r="AN24" s="20" t="n"/>
      <c r="AO24" s="20" t="n"/>
      <c r="AP24" s="20" t="n"/>
      <c r="AR24" s="31">
        <f>IF(IFERROR(TRIM(INDEX($A24:$AB24,MATCH(Lists!$B$5,$A$1:$AB$1,0))&amp;""),"")&lt;&gt;"",IFERROR(TRIM(INDEX($A24:$AB24,MATCH(Lists!$B$5,$A$1:$AB$1,0))&amp;""),""),IFERROR(TRIM(INDEX($A24:$AB24,MATCH(Lists!$B$3,$A$1:$AB$1,0))&amp;""),""))</f>
        <v/>
      </c>
      <c r="AS24" s="31">
        <f>IF(AR24="","",IF(IFERROR(TRIM(INDEX($A24:$AB24,MATCH(Lists!$B$5,$A$1:$AB$1,0))&amp;""),"")&lt;&gt;"","Nominated","Applied"))</f>
        <v/>
      </c>
      <c r="AT24" s="31">
        <f>IF(AR24="","",IF(IFERROR(TRIM(INDEX($A24:$AB24,MATCH(Lists!$B$5,$A$1:$AB$1,0))&amp;""),"")&lt;&gt;"",IFERROR(TRIM(INDEX($A24:$AB24,MATCH(Lists!$B$6,$A$1:$AB$1,0))&amp;""),""),IFERROR(TRIM(INDEX($A24:$AB24,MATCH(Lists!$B$4,$A$1:$AB$1,0))&amp;""),"")))</f>
        <v/>
      </c>
      <c r="AU24" s="31">
        <f>IF(AR24="","",IFERROR(TRIM(INDEX($A24:$AB24,MATCH(Lists!$B$7,$A$1:$AB$1,0))&amp;""),""))</f>
        <v/>
      </c>
      <c r="AV24" s="31">
        <f>IF(AR24="","",IFERROR(TRIM(INDEX($A24:$AB24,MATCH(Lists!$B$9,$A$1:$AB$1,0))&amp;""),""))</f>
        <v/>
      </c>
      <c r="AW24" s="31">
        <f>IF(AR24="","",IFERROR(TRIM(INDEX($A24:$AB24,MATCH(Lists!$B$8,$A$1:$AB$1,0))&amp;""),""))</f>
        <v/>
      </c>
      <c r="AX24" s="23">
        <f>IF(AR24="","",IF(OR(TRIM(AE24&amp;"")&lt;&gt;"",AND(Skills!$B$5&lt;&gt;"",ISNUMBER(SEARCH(Skills!$B$5,AU24)))),1,0))</f>
        <v/>
      </c>
      <c r="AY24" s="23">
        <f>IF(AR24="","",IF(OR(TRIM(AF24&amp;"")&lt;&gt;"",AND(Skills!$B$6&lt;&gt;"",ISNUMBER(SEARCH(Skills!$B$6,AU24)))),1,0))</f>
        <v/>
      </c>
      <c r="AZ24" s="23">
        <f>IF(AR24="","",IF(OR(TRIM(AG24&amp;"")&lt;&gt;"",AND(Skills!$B$7&lt;&gt;"",ISNUMBER(SEARCH(Skills!$B$7,AU24)))),1,0))</f>
        <v/>
      </c>
      <c r="BA24" s="23">
        <f>IF(AR24="","",IF(OR(TRIM(AH24&amp;"")&lt;&gt;"",AND(Skills!$B$8&lt;&gt;"",ISNUMBER(SEARCH(Skills!$B$8,AU24)))),1,0))</f>
        <v/>
      </c>
      <c r="BB24" s="23">
        <f>IF(AR24="","",IF(OR(TRIM(AI24&amp;"")&lt;&gt;"",AND(Skills!$B$9&lt;&gt;"",ISNUMBER(SEARCH(Skills!$B$9,AU24)))),1,0))</f>
        <v/>
      </c>
      <c r="BC24" s="23">
        <f>IF(AR24="","",IF(OR(TRIM(AJ24&amp;"")&lt;&gt;"",AND(Skills!$B$10&lt;&gt;"",ISNUMBER(SEARCH(Skills!$B$10,AU24)))),1,0))</f>
        <v/>
      </c>
      <c r="BD24" s="23">
        <f>IF(AR24="","",IF(OR(TRIM(AK24&amp;"")&lt;&gt;"",AND(Skills!$B$11&lt;&gt;"",ISNUMBER(SEARCH(Skills!$B$11,AU24)))),1,0))</f>
        <v/>
      </c>
      <c r="BE24" s="23">
        <f>IF(AR24="","",IF(OR(TRIM(AL24&amp;"")&lt;&gt;"",AND(Skills!$B$12&lt;&gt;"",ISNUMBER(SEARCH(Skills!$B$12,AU24)))),1,0))</f>
        <v/>
      </c>
      <c r="BF24" s="23">
        <f>IF(AR24="","",IF(OR(TRIM(AM24&amp;"")&lt;&gt;"",AND(Skills!$B$13&lt;&gt;"",ISNUMBER(SEARCH(Skills!$B$13,AU24)))),1,0))</f>
        <v/>
      </c>
      <c r="BG24" s="23">
        <f>IF(AR24="","",IF(OR(TRIM(AN24&amp;"")&lt;&gt;"",AND(Skills!$B$14&lt;&gt;"",ISNUMBER(SEARCH(Skills!$B$14,AU24)))),1,0))</f>
        <v/>
      </c>
      <c r="BH24" s="23">
        <f>IF(AR24="","",IF(OR(TRIM(AO24&amp;"")&lt;&gt;"",AND(Skills!$B$15&lt;&gt;"",ISNUMBER(SEARCH(Skills!$B$15,AU24)))),1,0))</f>
        <v/>
      </c>
      <c r="BI24" s="23">
        <f>IF(AR24="","",IF(OR(TRIM(AP24&amp;"")&lt;&gt;"",AND(Skills!$B$16&lt;&gt;"",ISNUMBER(SEARCH(Skills!$B$16,AU24)))),1,0))</f>
        <v/>
      </c>
      <c r="BJ24" s="23">
        <f>IF(AR24="","",SUMPRODUCT($AX24:$BI24,Skills!$B$20:$M$20))</f>
        <v/>
      </c>
      <c r="BK24" s="23">
        <f>IF(AR24="","",BJ24*100000+(100000-ROW()))</f>
        <v/>
      </c>
      <c r="BL24" s="31">
        <f>IF(AR24="","",IF((IF(AND(AX24=1,Skills!$B$20=1),Skills!$B$5&amp;", ","")&amp;IF(AND(AY24=1,Skills!$C$20=1),Skills!$B$6&amp;", ","")&amp;IF(AND(AZ24=1,Skills!$D$20=1),Skills!$B$7&amp;", ","")&amp;IF(AND(BA24=1,Skills!$E$20=1),Skills!$B$8&amp;", ","")&amp;IF(AND(BB24=1,Skills!$F$20=1),Skills!$B$9&amp;", ","")&amp;IF(AND(BC24=1,Skills!$G$20=1),Skills!$B$10&amp;", ","")&amp;IF(AND(BD24=1,Skills!$H$20=1),Skills!$B$11&amp;", ","")&amp;IF(AND(BE24=1,Skills!$I$20=1),Skills!$B$12&amp;", ","")&amp;IF(AND(BF24=1,Skills!$J$20=1),Skills!$B$13&amp;", ","")&amp;IF(AND(BG24=1,Skills!$K$20=1),Skills!$B$14&amp;", ","")&amp;IF(AND(BH24=1,Skills!$L$20=1),Skills!$B$15&amp;", ","")&amp;IF(AND(BI24=1,Skills!$M$20=1),Skills!$B$16&amp;", ",""))="","",LEFT(IF(AND(AX24=1,Skills!$B$20=1),Skills!$B$5&amp;", ","")&amp;IF(AND(AY24=1,Skills!$C$20=1),Skills!$B$6&amp;", ","")&amp;IF(AND(AZ24=1,Skills!$D$20=1),Skills!$B$7&amp;", ","")&amp;IF(AND(BA24=1,Skills!$E$20=1),Skills!$B$8&amp;", ","")&amp;IF(AND(BB24=1,Skills!$F$20=1),Skills!$B$9&amp;", ","")&amp;IF(AND(BC24=1,Skills!$G$20=1),Skills!$B$10&amp;", ","")&amp;IF(AND(BD24=1,Skills!$H$20=1),Skills!$B$11&amp;", ","")&amp;IF(AND(BE24=1,Skills!$I$20=1),Skills!$B$12&amp;", ","")&amp;IF(AND(BF24=1,Skills!$J$20=1),Skills!$B$13&amp;", ","")&amp;IF(AND(BG24=1,Skills!$K$20=1),Skills!$B$14&amp;", ","")&amp;IF(AND(BH24=1,Skills!$L$20=1),Skills!$B$15&amp;", ","")&amp;IF(AND(BI24=1,Skills!$M$20=1),Skills!$B$16&amp;", ",""),LEN(IF(AND(AX24=1,Skills!$B$20=1),Skills!$B$5&amp;", ","")&amp;IF(AND(AY24=1,Skills!$C$20=1),Skills!$B$6&amp;", ","")&amp;IF(AND(AZ24=1,Skills!$D$20=1),Skills!$B$7&amp;", ","")&amp;IF(AND(BA24=1,Skills!$E$20=1),Skills!$B$8&amp;", ","")&amp;IF(AND(BB24=1,Skills!$F$20=1),Skills!$B$9&amp;", ","")&amp;IF(AND(BC24=1,Skills!$G$20=1),Skills!$B$10&amp;", ","")&amp;IF(AND(BD24=1,Skills!$H$20=1),Skills!$B$11&amp;", ","")&amp;IF(AND(BE24=1,Skills!$I$20=1),Skills!$B$12&amp;", ","")&amp;IF(AND(BF24=1,Skills!$J$20=1),Skills!$B$13&amp;", ","")&amp;IF(AND(BG24=1,Skills!$K$20=1),Skills!$B$14&amp;", ","")&amp;IF(AND(BH24=1,Skills!$L$20=1),Skills!$B$15&amp;", ","")&amp;IF(AND(BI24=1,Skills!$M$20=1),Skills!$B$16&amp;", ",""))-2)))</f>
        <v/>
      </c>
    </row>
    <row r="25">
      <c r="AD25" s="20" t="n"/>
      <c r="AE25" s="20" t="n"/>
      <c r="AF25" s="20" t="n"/>
      <c r="AG25" s="20" t="n"/>
      <c r="AH25" s="20" t="n"/>
      <c r="AI25" s="20" t="n"/>
      <c r="AJ25" s="20" t="n"/>
      <c r="AK25" s="20" t="n"/>
      <c r="AL25" s="20" t="n"/>
      <c r="AM25" s="20" t="n"/>
      <c r="AN25" s="20" t="n"/>
      <c r="AO25" s="20" t="n"/>
      <c r="AP25" s="20" t="n"/>
      <c r="AR25" s="31">
        <f>IF(IFERROR(TRIM(INDEX($A25:$AB25,MATCH(Lists!$B$5,$A$1:$AB$1,0))&amp;""),"")&lt;&gt;"",IFERROR(TRIM(INDEX($A25:$AB25,MATCH(Lists!$B$5,$A$1:$AB$1,0))&amp;""),""),IFERROR(TRIM(INDEX($A25:$AB25,MATCH(Lists!$B$3,$A$1:$AB$1,0))&amp;""),""))</f>
        <v/>
      </c>
      <c r="AS25" s="31">
        <f>IF(AR25="","",IF(IFERROR(TRIM(INDEX($A25:$AB25,MATCH(Lists!$B$5,$A$1:$AB$1,0))&amp;""),"")&lt;&gt;"","Nominated","Applied"))</f>
        <v/>
      </c>
      <c r="AT25" s="31">
        <f>IF(AR25="","",IF(IFERROR(TRIM(INDEX($A25:$AB25,MATCH(Lists!$B$5,$A$1:$AB$1,0))&amp;""),"")&lt;&gt;"",IFERROR(TRIM(INDEX($A25:$AB25,MATCH(Lists!$B$6,$A$1:$AB$1,0))&amp;""),""),IFERROR(TRIM(INDEX($A25:$AB25,MATCH(Lists!$B$4,$A$1:$AB$1,0))&amp;""),"")))</f>
        <v/>
      </c>
      <c r="AU25" s="31">
        <f>IF(AR25="","",IFERROR(TRIM(INDEX($A25:$AB25,MATCH(Lists!$B$7,$A$1:$AB$1,0))&amp;""),""))</f>
        <v/>
      </c>
      <c r="AV25" s="31">
        <f>IF(AR25="","",IFERROR(TRIM(INDEX($A25:$AB25,MATCH(Lists!$B$9,$A$1:$AB$1,0))&amp;""),""))</f>
        <v/>
      </c>
      <c r="AW25" s="31">
        <f>IF(AR25="","",IFERROR(TRIM(INDEX($A25:$AB25,MATCH(Lists!$B$8,$A$1:$AB$1,0))&amp;""),""))</f>
        <v/>
      </c>
      <c r="AX25" s="23">
        <f>IF(AR25="","",IF(OR(TRIM(AE25&amp;"")&lt;&gt;"",AND(Skills!$B$5&lt;&gt;"",ISNUMBER(SEARCH(Skills!$B$5,AU25)))),1,0))</f>
        <v/>
      </c>
      <c r="AY25" s="23">
        <f>IF(AR25="","",IF(OR(TRIM(AF25&amp;"")&lt;&gt;"",AND(Skills!$B$6&lt;&gt;"",ISNUMBER(SEARCH(Skills!$B$6,AU25)))),1,0))</f>
        <v/>
      </c>
      <c r="AZ25" s="23">
        <f>IF(AR25="","",IF(OR(TRIM(AG25&amp;"")&lt;&gt;"",AND(Skills!$B$7&lt;&gt;"",ISNUMBER(SEARCH(Skills!$B$7,AU25)))),1,0))</f>
        <v/>
      </c>
      <c r="BA25" s="23">
        <f>IF(AR25="","",IF(OR(TRIM(AH25&amp;"")&lt;&gt;"",AND(Skills!$B$8&lt;&gt;"",ISNUMBER(SEARCH(Skills!$B$8,AU25)))),1,0))</f>
        <v/>
      </c>
      <c r="BB25" s="23">
        <f>IF(AR25="","",IF(OR(TRIM(AI25&amp;"")&lt;&gt;"",AND(Skills!$B$9&lt;&gt;"",ISNUMBER(SEARCH(Skills!$B$9,AU25)))),1,0))</f>
        <v/>
      </c>
      <c r="BC25" s="23">
        <f>IF(AR25="","",IF(OR(TRIM(AJ25&amp;"")&lt;&gt;"",AND(Skills!$B$10&lt;&gt;"",ISNUMBER(SEARCH(Skills!$B$10,AU25)))),1,0))</f>
        <v/>
      </c>
      <c r="BD25" s="23">
        <f>IF(AR25="","",IF(OR(TRIM(AK25&amp;"")&lt;&gt;"",AND(Skills!$B$11&lt;&gt;"",ISNUMBER(SEARCH(Skills!$B$11,AU25)))),1,0))</f>
        <v/>
      </c>
      <c r="BE25" s="23">
        <f>IF(AR25="","",IF(OR(TRIM(AL25&amp;"")&lt;&gt;"",AND(Skills!$B$12&lt;&gt;"",ISNUMBER(SEARCH(Skills!$B$12,AU25)))),1,0))</f>
        <v/>
      </c>
      <c r="BF25" s="23">
        <f>IF(AR25="","",IF(OR(TRIM(AM25&amp;"")&lt;&gt;"",AND(Skills!$B$13&lt;&gt;"",ISNUMBER(SEARCH(Skills!$B$13,AU25)))),1,0))</f>
        <v/>
      </c>
      <c r="BG25" s="23">
        <f>IF(AR25="","",IF(OR(TRIM(AN25&amp;"")&lt;&gt;"",AND(Skills!$B$14&lt;&gt;"",ISNUMBER(SEARCH(Skills!$B$14,AU25)))),1,0))</f>
        <v/>
      </c>
      <c r="BH25" s="23">
        <f>IF(AR25="","",IF(OR(TRIM(AO25&amp;"")&lt;&gt;"",AND(Skills!$B$15&lt;&gt;"",ISNUMBER(SEARCH(Skills!$B$15,AU25)))),1,0))</f>
        <v/>
      </c>
      <c r="BI25" s="23">
        <f>IF(AR25="","",IF(OR(TRIM(AP25&amp;"")&lt;&gt;"",AND(Skills!$B$16&lt;&gt;"",ISNUMBER(SEARCH(Skills!$B$16,AU25)))),1,0))</f>
        <v/>
      </c>
      <c r="BJ25" s="23">
        <f>IF(AR25="","",SUMPRODUCT($AX25:$BI25,Skills!$B$20:$M$20))</f>
        <v/>
      </c>
      <c r="BK25" s="23">
        <f>IF(AR25="","",BJ25*100000+(100000-ROW()))</f>
        <v/>
      </c>
      <c r="BL25" s="31">
        <f>IF(AR25="","",IF((IF(AND(AX25=1,Skills!$B$20=1),Skills!$B$5&amp;", ","")&amp;IF(AND(AY25=1,Skills!$C$20=1),Skills!$B$6&amp;", ","")&amp;IF(AND(AZ25=1,Skills!$D$20=1),Skills!$B$7&amp;", ","")&amp;IF(AND(BA25=1,Skills!$E$20=1),Skills!$B$8&amp;", ","")&amp;IF(AND(BB25=1,Skills!$F$20=1),Skills!$B$9&amp;", ","")&amp;IF(AND(BC25=1,Skills!$G$20=1),Skills!$B$10&amp;", ","")&amp;IF(AND(BD25=1,Skills!$H$20=1),Skills!$B$11&amp;", ","")&amp;IF(AND(BE25=1,Skills!$I$20=1),Skills!$B$12&amp;", ","")&amp;IF(AND(BF25=1,Skills!$J$20=1),Skills!$B$13&amp;", ","")&amp;IF(AND(BG25=1,Skills!$K$20=1),Skills!$B$14&amp;", ","")&amp;IF(AND(BH25=1,Skills!$L$20=1),Skills!$B$15&amp;", ","")&amp;IF(AND(BI25=1,Skills!$M$20=1),Skills!$B$16&amp;", ",""))="","",LEFT(IF(AND(AX25=1,Skills!$B$20=1),Skills!$B$5&amp;", ","")&amp;IF(AND(AY25=1,Skills!$C$20=1),Skills!$B$6&amp;", ","")&amp;IF(AND(AZ25=1,Skills!$D$20=1),Skills!$B$7&amp;", ","")&amp;IF(AND(BA25=1,Skills!$E$20=1),Skills!$B$8&amp;", ","")&amp;IF(AND(BB25=1,Skills!$F$20=1),Skills!$B$9&amp;", ","")&amp;IF(AND(BC25=1,Skills!$G$20=1),Skills!$B$10&amp;", ","")&amp;IF(AND(BD25=1,Skills!$H$20=1),Skills!$B$11&amp;", ","")&amp;IF(AND(BE25=1,Skills!$I$20=1),Skills!$B$12&amp;", ","")&amp;IF(AND(BF25=1,Skills!$J$20=1),Skills!$B$13&amp;", ","")&amp;IF(AND(BG25=1,Skills!$K$20=1),Skills!$B$14&amp;", ","")&amp;IF(AND(BH25=1,Skills!$L$20=1),Skills!$B$15&amp;", ","")&amp;IF(AND(BI25=1,Skills!$M$20=1),Skills!$B$16&amp;", ",""),LEN(IF(AND(AX25=1,Skills!$B$20=1),Skills!$B$5&amp;", ","")&amp;IF(AND(AY25=1,Skills!$C$20=1),Skills!$B$6&amp;", ","")&amp;IF(AND(AZ25=1,Skills!$D$20=1),Skills!$B$7&amp;", ","")&amp;IF(AND(BA25=1,Skills!$E$20=1),Skills!$B$8&amp;", ","")&amp;IF(AND(BB25=1,Skills!$F$20=1),Skills!$B$9&amp;", ","")&amp;IF(AND(BC25=1,Skills!$G$20=1),Skills!$B$10&amp;", ","")&amp;IF(AND(BD25=1,Skills!$H$20=1),Skills!$B$11&amp;", ","")&amp;IF(AND(BE25=1,Skills!$I$20=1),Skills!$B$12&amp;", ","")&amp;IF(AND(BF25=1,Skills!$J$20=1),Skills!$B$13&amp;", ","")&amp;IF(AND(BG25=1,Skills!$K$20=1),Skills!$B$14&amp;", ","")&amp;IF(AND(BH25=1,Skills!$L$20=1),Skills!$B$15&amp;", ","")&amp;IF(AND(BI25=1,Skills!$M$20=1),Skills!$B$16&amp;", ",""))-2)))</f>
        <v/>
      </c>
    </row>
    <row r="26">
      <c r="AD26" s="20" t="n"/>
      <c r="AE26" s="20" t="n"/>
      <c r="AF26" s="20" t="n"/>
      <c r="AG26" s="20" t="n"/>
      <c r="AH26" s="20" t="n"/>
      <c r="AI26" s="20" t="n"/>
      <c r="AJ26" s="20" t="n"/>
      <c r="AK26" s="20" t="n"/>
      <c r="AL26" s="20" t="n"/>
      <c r="AM26" s="20" t="n"/>
      <c r="AN26" s="20" t="n"/>
      <c r="AO26" s="20" t="n"/>
      <c r="AP26" s="20" t="n"/>
      <c r="AR26" s="31">
        <f>IF(IFERROR(TRIM(INDEX($A26:$AB26,MATCH(Lists!$B$5,$A$1:$AB$1,0))&amp;""),"")&lt;&gt;"",IFERROR(TRIM(INDEX($A26:$AB26,MATCH(Lists!$B$5,$A$1:$AB$1,0))&amp;""),""),IFERROR(TRIM(INDEX($A26:$AB26,MATCH(Lists!$B$3,$A$1:$AB$1,0))&amp;""),""))</f>
        <v/>
      </c>
      <c r="AS26" s="31">
        <f>IF(AR26="","",IF(IFERROR(TRIM(INDEX($A26:$AB26,MATCH(Lists!$B$5,$A$1:$AB$1,0))&amp;""),"")&lt;&gt;"","Nominated","Applied"))</f>
        <v/>
      </c>
      <c r="AT26" s="31">
        <f>IF(AR26="","",IF(IFERROR(TRIM(INDEX($A26:$AB26,MATCH(Lists!$B$5,$A$1:$AB$1,0))&amp;""),"")&lt;&gt;"",IFERROR(TRIM(INDEX($A26:$AB26,MATCH(Lists!$B$6,$A$1:$AB$1,0))&amp;""),""),IFERROR(TRIM(INDEX($A26:$AB26,MATCH(Lists!$B$4,$A$1:$AB$1,0))&amp;""),"")))</f>
        <v/>
      </c>
      <c r="AU26" s="31">
        <f>IF(AR26="","",IFERROR(TRIM(INDEX($A26:$AB26,MATCH(Lists!$B$7,$A$1:$AB$1,0))&amp;""),""))</f>
        <v/>
      </c>
      <c r="AV26" s="31">
        <f>IF(AR26="","",IFERROR(TRIM(INDEX($A26:$AB26,MATCH(Lists!$B$9,$A$1:$AB$1,0))&amp;""),""))</f>
        <v/>
      </c>
      <c r="AW26" s="31">
        <f>IF(AR26="","",IFERROR(TRIM(INDEX($A26:$AB26,MATCH(Lists!$B$8,$A$1:$AB$1,0))&amp;""),""))</f>
        <v/>
      </c>
      <c r="AX26" s="23">
        <f>IF(AR26="","",IF(OR(TRIM(AE26&amp;"")&lt;&gt;"",AND(Skills!$B$5&lt;&gt;"",ISNUMBER(SEARCH(Skills!$B$5,AU26)))),1,0))</f>
        <v/>
      </c>
      <c r="AY26" s="23">
        <f>IF(AR26="","",IF(OR(TRIM(AF26&amp;"")&lt;&gt;"",AND(Skills!$B$6&lt;&gt;"",ISNUMBER(SEARCH(Skills!$B$6,AU26)))),1,0))</f>
        <v/>
      </c>
      <c r="AZ26" s="23">
        <f>IF(AR26="","",IF(OR(TRIM(AG26&amp;"")&lt;&gt;"",AND(Skills!$B$7&lt;&gt;"",ISNUMBER(SEARCH(Skills!$B$7,AU26)))),1,0))</f>
        <v/>
      </c>
      <c r="BA26" s="23">
        <f>IF(AR26="","",IF(OR(TRIM(AH26&amp;"")&lt;&gt;"",AND(Skills!$B$8&lt;&gt;"",ISNUMBER(SEARCH(Skills!$B$8,AU26)))),1,0))</f>
        <v/>
      </c>
      <c r="BB26" s="23">
        <f>IF(AR26="","",IF(OR(TRIM(AI26&amp;"")&lt;&gt;"",AND(Skills!$B$9&lt;&gt;"",ISNUMBER(SEARCH(Skills!$B$9,AU26)))),1,0))</f>
        <v/>
      </c>
      <c r="BC26" s="23">
        <f>IF(AR26="","",IF(OR(TRIM(AJ26&amp;"")&lt;&gt;"",AND(Skills!$B$10&lt;&gt;"",ISNUMBER(SEARCH(Skills!$B$10,AU26)))),1,0))</f>
        <v/>
      </c>
      <c r="BD26" s="23">
        <f>IF(AR26="","",IF(OR(TRIM(AK26&amp;"")&lt;&gt;"",AND(Skills!$B$11&lt;&gt;"",ISNUMBER(SEARCH(Skills!$B$11,AU26)))),1,0))</f>
        <v/>
      </c>
      <c r="BE26" s="23">
        <f>IF(AR26="","",IF(OR(TRIM(AL26&amp;"")&lt;&gt;"",AND(Skills!$B$12&lt;&gt;"",ISNUMBER(SEARCH(Skills!$B$12,AU26)))),1,0))</f>
        <v/>
      </c>
      <c r="BF26" s="23">
        <f>IF(AR26="","",IF(OR(TRIM(AM26&amp;"")&lt;&gt;"",AND(Skills!$B$13&lt;&gt;"",ISNUMBER(SEARCH(Skills!$B$13,AU26)))),1,0))</f>
        <v/>
      </c>
      <c r="BG26" s="23">
        <f>IF(AR26="","",IF(OR(TRIM(AN26&amp;"")&lt;&gt;"",AND(Skills!$B$14&lt;&gt;"",ISNUMBER(SEARCH(Skills!$B$14,AU26)))),1,0))</f>
        <v/>
      </c>
      <c r="BH26" s="23">
        <f>IF(AR26="","",IF(OR(TRIM(AO26&amp;"")&lt;&gt;"",AND(Skills!$B$15&lt;&gt;"",ISNUMBER(SEARCH(Skills!$B$15,AU26)))),1,0))</f>
        <v/>
      </c>
      <c r="BI26" s="23">
        <f>IF(AR26="","",IF(OR(TRIM(AP26&amp;"")&lt;&gt;"",AND(Skills!$B$16&lt;&gt;"",ISNUMBER(SEARCH(Skills!$B$16,AU26)))),1,0))</f>
        <v/>
      </c>
      <c r="BJ26" s="23">
        <f>IF(AR26="","",SUMPRODUCT($AX26:$BI26,Skills!$B$20:$M$20))</f>
        <v/>
      </c>
      <c r="BK26" s="23">
        <f>IF(AR26="","",BJ26*100000+(100000-ROW()))</f>
        <v/>
      </c>
      <c r="BL26" s="31">
        <f>IF(AR26="","",IF((IF(AND(AX26=1,Skills!$B$20=1),Skills!$B$5&amp;", ","")&amp;IF(AND(AY26=1,Skills!$C$20=1),Skills!$B$6&amp;", ","")&amp;IF(AND(AZ26=1,Skills!$D$20=1),Skills!$B$7&amp;", ","")&amp;IF(AND(BA26=1,Skills!$E$20=1),Skills!$B$8&amp;", ","")&amp;IF(AND(BB26=1,Skills!$F$20=1),Skills!$B$9&amp;", ","")&amp;IF(AND(BC26=1,Skills!$G$20=1),Skills!$B$10&amp;", ","")&amp;IF(AND(BD26=1,Skills!$H$20=1),Skills!$B$11&amp;", ","")&amp;IF(AND(BE26=1,Skills!$I$20=1),Skills!$B$12&amp;", ","")&amp;IF(AND(BF26=1,Skills!$J$20=1),Skills!$B$13&amp;", ","")&amp;IF(AND(BG26=1,Skills!$K$20=1),Skills!$B$14&amp;", ","")&amp;IF(AND(BH26=1,Skills!$L$20=1),Skills!$B$15&amp;", ","")&amp;IF(AND(BI26=1,Skills!$M$20=1),Skills!$B$16&amp;", ",""))="","",LEFT(IF(AND(AX26=1,Skills!$B$20=1),Skills!$B$5&amp;", ","")&amp;IF(AND(AY26=1,Skills!$C$20=1),Skills!$B$6&amp;", ","")&amp;IF(AND(AZ26=1,Skills!$D$20=1),Skills!$B$7&amp;", ","")&amp;IF(AND(BA26=1,Skills!$E$20=1),Skills!$B$8&amp;", ","")&amp;IF(AND(BB26=1,Skills!$F$20=1),Skills!$B$9&amp;", ","")&amp;IF(AND(BC26=1,Skills!$G$20=1),Skills!$B$10&amp;", ","")&amp;IF(AND(BD26=1,Skills!$H$20=1),Skills!$B$11&amp;", ","")&amp;IF(AND(BE26=1,Skills!$I$20=1),Skills!$B$12&amp;", ","")&amp;IF(AND(BF26=1,Skills!$J$20=1),Skills!$B$13&amp;", ","")&amp;IF(AND(BG26=1,Skills!$K$20=1),Skills!$B$14&amp;", ","")&amp;IF(AND(BH26=1,Skills!$L$20=1),Skills!$B$15&amp;", ","")&amp;IF(AND(BI26=1,Skills!$M$20=1),Skills!$B$16&amp;", ",""),LEN(IF(AND(AX26=1,Skills!$B$20=1),Skills!$B$5&amp;", ","")&amp;IF(AND(AY26=1,Skills!$C$20=1),Skills!$B$6&amp;", ","")&amp;IF(AND(AZ26=1,Skills!$D$20=1),Skills!$B$7&amp;", ","")&amp;IF(AND(BA26=1,Skills!$E$20=1),Skills!$B$8&amp;", ","")&amp;IF(AND(BB26=1,Skills!$F$20=1),Skills!$B$9&amp;", ","")&amp;IF(AND(BC26=1,Skills!$G$20=1),Skills!$B$10&amp;", ","")&amp;IF(AND(BD26=1,Skills!$H$20=1),Skills!$B$11&amp;", ","")&amp;IF(AND(BE26=1,Skills!$I$20=1),Skills!$B$12&amp;", ","")&amp;IF(AND(BF26=1,Skills!$J$20=1),Skills!$B$13&amp;", ","")&amp;IF(AND(BG26=1,Skills!$K$20=1),Skills!$B$14&amp;", ","")&amp;IF(AND(BH26=1,Skills!$L$20=1),Skills!$B$15&amp;", ","")&amp;IF(AND(BI26=1,Skills!$M$20=1),Skills!$B$16&amp;", ",""))-2)))</f>
        <v/>
      </c>
    </row>
    <row r="27">
      <c r="AD27" s="20" t="n"/>
      <c r="AE27" s="20" t="n"/>
      <c r="AF27" s="20" t="n"/>
      <c r="AG27" s="20" t="n"/>
      <c r="AH27" s="20" t="n"/>
      <c r="AI27" s="20" t="n"/>
      <c r="AJ27" s="20" t="n"/>
      <c r="AK27" s="20" t="n"/>
      <c r="AL27" s="20" t="n"/>
      <c r="AM27" s="20" t="n"/>
      <c r="AN27" s="20" t="n"/>
      <c r="AO27" s="20" t="n"/>
      <c r="AP27" s="20" t="n"/>
      <c r="AR27" s="31">
        <f>IF(IFERROR(TRIM(INDEX($A27:$AB27,MATCH(Lists!$B$5,$A$1:$AB$1,0))&amp;""),"")&lt;&gt;"",IFERROR(TRIM(INDEX($A27:$AB27,MATCH(Lists!$B$5,$A$1:$AB$1,0))&amp;""),""),IFERROR(TRIM(INDEX($A27:$AB27,MATCH(Lists!$B$3,$A$1:$AB$1,0))&amp;""),""))</f>
        <v/>
      </c>
      <c r="AS27" s="31">
        <f>IF(AR27="","",IF(IFERROR(TRIM(INDEX($A27:$AB27,MATCH(Lists!$B$5,$A$1:$AB$1,0))&amp;""),"")&lt;&gt;"","Nominated","Applied"))</f>
        <v/>
      </c>
      <c r="AT27" s="31">
        <f>IF(AR27="","",IF(IFERROR(TRIM(INDEX($A27:$AB27,MATCH(Lists!$B$5,$A$1:$AB$1,0))&amp;""),"")&lt;&gt;"",IFERROR(TRIM(INDEX($A27:$AB27,MATCH(Lists!$B$6,$A$1:$AB$1,0))&amp;""),""),IFERROR(TRIM(INDEX($A27:$AB27,MATCH(Lists!$B$4,$A$1:$AB$1,0))&amp;""),"")))</f>
        <v/>
      </c>
      <c r="AU27" s="31">
        <f>IF(AR27="","",IFERROR(TRIM(INDEX($A27:$AB27,MATCH(Lists!$B$7,$A$1:$AB$1,0))&amp;""),""))</f>
        <v/>
      </c>
      <c r="AV27" s="31">
        <f>IF(AR27="","",IFERROR(TRIM(INDEX($A27:$AB27,MATCH(Lists!$B$9,$A$1:$AB$1,0))&amp;""),""))</f>
        <v/>
      </c>
      <c r="AW27" s="31">
        <f>IF(AR27="","",IFERROR(TRIM(INDEX($A27:$AB27,MATCH(Lists!$B$8,$A$1:$AB$1,0))&amp;""),""))</f>
        <v/>
      </c>
      <c r="AX27" s="23">
        <f>IF(AR27="","",IF(OR(TRIM(AE27&amp;"")&lt;&gt;"",AND(Skills!$B$5&lt;&gt;"",ISNUMBER(SEARCH(Skills!$B$5,AU27)))),1,0))</f>
        <v/>
      </c>
      <c r="AY27" s="23">
        <f>IF(AR27="","",IF(OR(TRIM(AF27&amp;"")&lt;&gt;"",AND(Skills!$B$6&lt;&gt;"",ISNUMBER(SEARCH(Skills!$B$6,AU27)))),1,0))</f>
        <v/>
      </c>
      <c r="AZ27" s="23">
        <f>IF(AR27="","",IF(OR(TRIM(AG27&amp;"")&lt;&gt;"",AND(Skills!$B$7&lt;&gt;"",ISNUMBER(SEARCH(Skills!$B$7,AU27)))),1,0))</f>
        <v/>
      </c>
      <c r="BA27" s="23">
        <f>IF(AR27="","",IF(OR(TRIM(AH27&amp;"")&lt;&gt;"",AND(Skills!$B$8&lt;&gt;"",ISNUMBER(SEARCH(Skills!$B$8,AU27)))),1,0))</f>
        <v/>
      </c>
      <c r="BB27" s="23">
        <f>IF(AR27="","",IF(OR(TRIM(AI27&amp;"")&lt;&gt;"",AND(Skills!$B$9&lt;&gt;"",ISNUMBER(SEARCH(Skills!$B$9,AU27)))),1,0))</f>
        <v/>
      </c>
      <c r="BC27" s="23">
        <f>IF(AR27="","",IF(OR(TRIM(AJ27&amp;"")&lt;&gt;"",AND(Skills!$B$10&lt;&gt;"",ISNUMBER(SEARCH(Skills!$B$10,AU27)))),1,0))</f>
        <v/>
      </c>
      <c r="BD27" s="23">
        <f>IF(AR27="","",IF(OR(TRIM(AK27&amp;"")&lt;&gt;"",AND(Skills!$B$11&lt;&gt;"",ISNUMBER(SEARCH(Skills!$B$11,AU27)))),1,0))</f>
        <v/>
      </c>
      <c r="BE27" s="23">
        <f>IF(AR27="","",IF(OR(TRIM(AL27&amp;"")&lt;&gt;"",AND(Skills!$B$12&lt;&gt;"",ISNUMBER(SEARCH(Skills!$B$12,AU27)))),1,0))</f>
        <v/>
      </c>
      <c r="BF27" s="23">
        <f>IF(AR27="","",IF(OR(TRIM(AM27&amp;"")&lt;&gt;"",AND(Skills!$B$13&lt;&gt;"",ISNUMBER(SEARCH(Skills!$B$13,AU27)))),1,0))</f>
        <v/>
      </c>
      <c r="BG27" s="23">
        <f>IF(AR27="","",IF(OR(TRIM(AN27&amp;"")&lt;&gt;"",AND(Skills!$B$14&lt;&gt;"",ISNUMBER(SEARCH(Skills!$B$14,AU27)))),1,0))</f>
        <v/>
      </c>
      <c r="BH27" s="23">
        <f>IF(AR27="","",IF(OR(TRIM(AO27&amp;"")&lt;&gt;"",AND(Skills!$B$15&lt;&gt;"",ISNUMBER(SEARCH(Skills!$B$15,AU27)))),1,0))</f>
        <v/>
      </c>
      <c r="BI27" s="23">
        <f>IF(AR27="","",IF(OR(TRIM(AP27&amp;"")&lt;&gt;"",AND(Skills!$B$16&lt;&gt;"",ISNUMBER(SEARCH(Skills!$B$16,AU27)))),1,0))</f>
        <v/>
      </c>
      <c r="BJ27" s="23">
        <f>IF(AR27="","",SUMPRODUCT($AX27:$BI27,Skills!$B$20:$M$20))</f>
        <v/>
      </c>
      <c r="BK27" s="23">
        <f>IF(AR27="","",BJ27*100000+(100000-ROW()))</f>
        <v/>
      </c>
      <c r="BL27" s="31">
        <f>IF(AR27="","",IF((IF(AND(AX27=1,Skills!$B$20=1),Skills!$B$5&amp;", ","")&amp;IF(AND(AY27=1,Skills!$C$20=1),Skills!$B$6&amp;", ","")&amp;IF(AND(AZ27=1,Skills!$D$20=1),Skills!$B$7&amp;", ","")&amp;IF(AND(BA27=1,Skills!$E$20=1),Skills!$B$8&amp;", ","")&amp;IF(AND(BB27=1,Skills!$F$20=1),Skills!$B$9&amp;", ","")&amp;IF(AND(BC27=1,Skills!$G$20=1),Skills!$B$10&amp;", ","")&amp;IF(AND(BD27=1,Skills!$H$20=1),Skills!$B$11&amp;", ","")&amp;IF(AND(BE27=1,Skills!$I$20=1),Skills!$B$12&amp;", ","")&amp;IF(AND(BF27=1,Skills!$J$20=1),Skills!$B$13&amp;", ","")&amp;IF(AND(BG27=1,Skills!$K$20=1),Skills!$B$14&amp;", ","")&amp;IF(AND(BH27=1,Skills!$L$20=1),Skills!$B$15&amp;", ","")&amp;IF(AND(BI27=1,Skills!$M$20=1),Skills!$B$16&amp;", ",""))="","",LEFT(IF(AND(AX27=1,Skills!$B$20=1),Skills!$B$5&amp;", ","")&amp;IF(AND(AY27=1,Skills!$C$20=1),Skills!$B$6&amp;", ","")&amp;IF(AND(AZ27=1,Skills!$D$20=1),Skills!$B$7&amp;", ","")&amp;IF(AND(BA27=1,Skills!$E$20=1),Skills!$B$8&amp;", ","")&amp;IF(AND(BB27=1,Skills!$F$20=1),Skills!$B$9&amp;", ","")&amp;IF(AND(BC27=1,Skills!$G$20=1),Skills!$B$10&amp;", ","")&amp;IF(AND(BD27=1,Skills!$H$20=1),Skills!$B$11&amp;", ","")&amp;IF(AND(BE27=1,Skills!$I$20=1),Skills!$B$12&amp;", ","")&amp;IF(AND(BF27=1,Skills!$J$20=1),Skills!$B$13&amp;", ","")&amp;IF(AND(BG27=1,Skills!$K$20=1),Skills!$B$14&amp;", ","")&amp;IF(AND(BH27=1,Skills!$L$20=1),Skills!$B$15&amp;", ","")&amp;IF(AND(BI27=1,Skills!$M$20=1),Skills!$B$16&amp;", ",""),LEN(IF(AND(AX27=1,Skills!$B$20=1),Skills!$B$5&amp;", ","")&amp;IF(AND(AY27=1,Skills!$C$20=1),Skills!$B$6&amp;", ","")&amp;IF(AND(AZ27=1,Skills!$D$20=1),Skills!$B$7&amp;", ","")&amp;IF(AND(BA27=1,Skills!$E$20=1),Skills!$B$8&amp;", ","")&amp;IF(AND(BB27=1,Skills!$F$20=1),Skills!$B$9&amp;", ","")&amp;IF(AND(BC27=1,Skills!$G$20=1),Skills!$B$10&amp;", ","")&amp;IF(AND(BD27=1,Skills!$H$20=1),Skills!$B$11&amp;", ","")&amp;IF(AND(BE27=1,Skills!$I$20=1),Skills!$B$12&amp;", ","")&amp;IF(AND(BF27=1,Skills!$J$20=1),Skills!$B$13&amp;", ","")&amp;IF(AND(BG27=1,Skills!$K$20=1),Skills!$B$14&amp;", ","")&amp;IF(AND(BH27=1,Skills!$L$20=1),Skills!$B$15&amp;", ","")&amp;IF(AND(BI27=1,Skills!$M$20=1),Skills!$B$16&amp;", ",""))-2)))</f>
        <v/>
      </c>
    </row>
    <row r="28">
      <c r="AD28" s="20" t="n"/>
      <c r="AE28" s="20" t="n"/>
      <c r="AF28" s="20" t="n"/>
      <c r="AG28" s="20" t="n"/>
      <c r="AH28" s="20" t="n"/>
      <c r="AI28" s="20" t="n"/>
      <c r="AJ28" s="20" t="n"/>
      <c r="AK28" s="20" t="n"/>
      <c r="AL28" s="20" t="n"/>
      <c r="AM28" s="20" t="n"/>
      <c r="AN28" s="20" t="n"/>
      <c r="AO28" s="20" t="n"/>
      <c r="AP28" s="20" t="n"/>
      <c r="AR28" s="31">
        <f>IF(IFERROR(TRIM(INDEX($A28:$AB28,MATCH(Lists!$B$5,$A$1:$AB$1,0))&amp;""),"")&lt;&gt;"",IFERROR(TRIM(INDEX($A28:$AB28,MATCH(Lists!$B$5,$A$1:$AB$1,0))&amp;""),""),IFERROR(TRIM(INDEX($A28:$AB28,MATCH(Lists!$B$3,$A$1:$AB$1,0))&amp;""),""))</f>
        <v/>
      </c>
      <c r="AS28" s="31">
        <f>IF(AR28="","",IF(IFERROR(TRIM(INDEX($A28:$AB28,MATCH(Lists!$B$5,$A$1:$AB$1,0))&amp;""),"")&lt;&gt;"","Nominated","Applied"))</f>
        <v/>
      </c>
      <c r="AT28" s="31">
        <f>IF(AR28="","",IF(IFERROR(TRIM(INDEX($A28:$AB28,MATCH(Lists!$B$5,$A$1:$AB$1,0))&amp;""),"")&lt;&gt;"",IFERROR(TRIM(INDEX($A28:$AB28,MATCH(Lists!$B$6,$A$1:$AB$1,0))&amp;""),""),IFERROR(TRIM(INDEX($A28:$AB28,MATCH(Lists!$B$4,$A$1:$AB$1,0))&amp;""),"")))</f>
        <v/>
      </c>
      <c r="AU28" s="31">
        <f>IF(AR28="","",IFERROR(TRIM(INDEX($A28:$AB28,MATCH(Lists!$B$7,$A$1:$AB$1,0))&amp;""),""))</f>
        <v/>
      </c>
      <c r="AV28" s="31">
        <f>IF(AR28="","",IFERROR(TRIM(INDEX($A28:$AB28,MATCH(Lists!$B$9,$A$1:$AB$1,0))&amp;""),""))</f>
        <v/>
      </c>
      <c r="AW28" s="31">
        <f>IF(AR28="","",IFERROR(TRIM(INDEX($A28:$AB28,MATCH(Lists!$B$8,$A$1:$AB$1,0))&amp;""),""))</f>
        <v/>
      </c>
      <c r="AX28" s="23">
        <f>IF(AR28="","",IF(OR(TRIM(AE28&amp;"")&lt;&gt;"",AND(Skills!$B$5&lt;&gt;"",ISNUMBER(SEARCH(Skills!$B$5,AU28)))),1,0))</f>
        <v/>
      </c>
      <c r="AY28" s="23">
        <f>IF(AR28="","",IF(OR(TRIM(AF28&amp;"")&lt;&gt;"",AND(Skills!$B$6&lt;&gt;"",ISNUMBER(SEARCH(Skills!$B$6,AU28)))),1,0))</f>
        <v/>
      </c>
      <c r="AZ28" s="23">
        <f>IF(AR28="","",IF(OR(TRIM(AG28&amp;"")&lt;&gt;"",AND(Skills!$B$7&lt;&gt;"",ISNUMBER(SEARCH(Skills!$B$7,AU28)))),1,0))</f>
        <v/>
      </c>
      <c r="BA28" s="23">
        <f>IF(AR28="","",IF(OR(TRIM(AH28&amp;"")&lt;&gt;"",AND(Skills!$B$8&lt;&gt;"",ISNUMBER(SEARCH(Skills!$B$8,AU28)))),1,0))</f>
        <v/>
      </c>
      <c r="BB28" s="23">
        <f>IF(AR28="","",IF(OR(TRIM(AI28&amp;"")&lt;&gt;"",AND(Skills!$B$9&lt;&gt;"",ISNUMBER(SEARCH(Skills!$B$9,AU28)))),1,0))</f>
        <v/>
      </c>
      <c r="BC28" s="23">
        <f>IF(AR28="","",IF(OR(TRIM(AJ28&amp;"")&lt;&gt;"",AND(Skills!$B$10&lt;&gt;"",ISNUMBER(SEARCH(Skills!$B$10,AU28)))),1,0))</f>
        <v/>
      </c>
      <c r="BD28" s="23">
        <f>IF(AR28="","",IF(OR(TRIM(AK28&amp;"")&lt;&gt;"",AND(Skills!$B$11&lt;&gt;"",ISNUMBER(SEARCH(Skills!$B$11,AU28)))),1,0))</f>
        <v/>
      </c>
      <c r="BE28" s="23">
        <f>IF(AR28="","",IF(OR(TRIM(AL28&amp;"")&lt;&gt;"",AND(Skills!$B$12&lt;&gt;"",ISNUMBER(SEARCH(Skills!$B$12,AU28)))),1,0))</f>
        <v/>
      </c>
      <c r="BF28" s="23">
        <f>IF(AR28="","",IF(OR(TRIM(AM28&amp;"")&lt;&gt;"",AND(Skills!$B$13&lt;&gt;"",ISNUMBER(SEARCH(Skills!$B$13,AU28)))),1,0))</f>
        <v/>
      </c>
      <c r="BG28" s="23">
        <f>IF(AR28="","",IF(OR(TRIM(AN28&amp;"")&lt;&gt;"",AND(Skills!$B$14&lt;&gt;"",ISNUMBER(SEARCH(Skills!$B$14,AU28)))),1,0))</f>
        <v/>
      </c>
      <c r="BH28" s="23">
        <f>IF(AR28="","",IF(OR(TRIM(AO28&amp;"")&lt;&gt;"",AND(Skills!$B$15&lt;&gt;"",ISNUMBER(SEARCH(Skills!$B$15,AU28)))),1,0))</f>
        <v/>
      </c>
      <c r="BI28" s="23">
        <f>IF(AR28="","",IF(OR(TRIM(AP28&amp;"")&lt;&gt;"",AND(Skills!$B$16&lt;&gt;"",ISNUMBER(SEARCH(Skills!$B$16,AU28)))),1,0))</f>
        <v/>
      </c>
      <c r="BJ28" s="23">
        <f>IF(AR28="","",SUMPRODUCT($AX28:$BI28,Skills!$B$20:$M$20))</f>
        <v/>
      </c>
      <c r="BK28" s="23">
        <f>IF(AR28="","",BJ28*100000+(100000-ROW()))</f>
        <v/>
      </c>
      <c r="BL28" s="31">
        <f>IF(AR28="","",IF((IF(AND(AX28=1,Skills!$B$20=1),Skills!$B$5&amp;", ","")&amp;IF(AND(AY28=1,Skills!$C$20=1),Skills!$B$6&amp;", ","")&amp;IF(AND(AZ28=1,Skills!$D$20=1),Skills!$B$7&amp;", ","")&amp;IF(AND(BA28=1,Skills!$E$20=1),Skills!$B$8&amp;", ","")&amp;IF(AND(BB28=1,Skills!$F$20=1),Skills!$B$9&amp;", ","")&amp;IF(AND(BC28=1,Skills!$G$20=1),Skills!$B$10&amp;", ","")&amp;IF(AND(BD28=1,Skills!$H$20=1),Skills!$B$11&amp;", ","")&amp;IF(AND(BE28=1,Skills!$I$20=1),Skills!$B$12&amp;", ","")&amp;IF(AND(BF28=1,Skills!$J$20=1),Skills!$B$13&amp;", ","")&amp;IF(AND(BG28=1,Skills!$K$20=1),Skills!$B$14&amp;", ","")&amp;IF(AND(BH28=1,Skills!$L$20=1),Skills!$B$15&amp;", ","")&amp;IF(AND(BI28=1,Skills!$M$20=1),Skills!$B$16&amp;", ",""))="","",LEFT(IF(AND(AX28=1,Skills!$B$20=1),Skills!$B$5&amp;", ","")&amp;IF(AND(AY28=1,Skills!$C$20=1),Skills!$B$6&amp;", ","")&amp;IF(AND(AZ28=1,Skills!$D$20=1),Skills!$B$7&amp;", ","")&amp;IF(AND(BA28=1,Skills!$E$20=1),Skills!$B$8&amp;", ","")&amp;IF(AND(BB28=1,Skills!$F$20=1),Skills!$B$9&amp;", ","")&amp;IF(AND(BC28=1,Skills!$G$20=1),Skills!$B$10&amp;", ","")&amp;IF(AND(BD28=1,Skills!$H$20=1),Skills!$B$11&amp;", ","")&amp;IF(AND(BE28=1,Skills!$I$20=1),Skills!$B$12&amp;", ","")&amp;IF(AND(BF28=1,Skills!$J$20=1),Skills!$B$13&amp;", ","")&amp;IF(AND(BG28=1,Skills!$K$20=1),Skills!$B$14&amp;", ","")&amp;IF(AND(BH28=1,Skills!$L$20=1),Skills!$B$15&amp;", ","")&amp;IF(AND(BI28=1,Skills!$M$20=1),Skills!$B$16&amp;", ",""),LEN(IF(AND(AX28=1,Skills!$B$20=1),Skills!$B$5&amp;", ","")&amp;IF(AND(AY28=1,Skills!$C$20=1),Skills!$B$6&amp;", ","")&amp;IF(AND(AZ28=1,Skills!$D$20=1),Skills!$B$7&amp;", ","")&amp;IF(AND(BA28=1,Skills!$E$20=1),Skills!$B$8&amp;", ","")&amp;IF(AND(BB28=1,Skills!$F$20=1),Skills!$B$9&amp;", ","")&amp;IF(AND(BC28=1,Skills!$G$20=1),Skills!$B$10&amp;", ","")&amp;IF(AND(BD28=1,Skills!$H$20=1),Skills!$B$11&amp;", ","")&amp;IF(AND(BE28=1,Skills!$I$20=1),Skills!$B$12&amp;", ","")&amp;IF(AND(BF28=1,Skills!$J$20=1),Skills!$B$13&amp;", ","")&amp;IF(AND(BG28=1,Skills!$K$20=1),Skills!$B$14&amp;", ","")&amp;IF(AND(BH28=1,Skills!$L$20=1),Skills!$B$15&amp;", ","")&amp;IF(AND(BI28=1,Skills!$M$20=1),Skills!$B$16&amp;", ",""))-2)))</f>
        <v/>
      </c>
    </row>
    <row r="29">
      <c r="AD29" s="20" t="n"/>
      <c r="AE29" s="20" t="n"/>
      <c r="AF29" s="20" t="n"/>
      <c r="AG29" s="20" t="n"/>
      <c r="AH29" s="20" t="n"/>
      <c r="AI29" s="20" t="n"/>
      <c r="AJ29" s="20" t="n"/>
      <c r="AK29" s="20" t="n"/>
      <c r="AL29" s="20" t="n"/>
      <c r="AM29" s="20" t="n"/>
      <c r="AN29" s="20" t="n"/>
      <c r="AO29" s="20" t="n"/>
      <c r="AP29" s="20" t="n"/>
      <c r="AR29" s="31">
        <f>IF(IFERROR(TRIM(INDEX($A29:$AB29,MATCH(Lists!$B$5,$A$1:$AB$1,0))&amp;""),"")&lt;&gt;"",IFERROR(TRIM(INDEX($A29:$AB29,MATCH(Lists!$B$5,$A$1:$AB$1,0))&amp;""),""),IFERROR(TRIM(INDEX($A29:$AB29,MATCH(Lists!$B$3,$A$1:$AB$1,0))&amp;""),""))</f>
        <v/>
      </c>
      <c r="AS29" s="31">
        <f>IF(AR29="","",IF(IFERROR(TRIM(INDEX($A29:$AB29,MATCH(Lists!$B$5,$A$1:$AB$1,0))&amp;""),"")&lt;&gt;"","Nominated","Applied"))</f>
        <v/>
      </c>
      <c r="AT29" s="31">
        <f>IF(AR29="","",IF(IFERROR(TRIM(INDEX($A29:$AB29,MATCH(Lists!$B$5,$A$1:$AB$1,0))&amp;""),"")&lt;&gt;"",IFERROR(TRIM(INDEX($A29:$AB29,MATCH(Lists!$B$6,$A$1:$AB$1,0))&amp;""),""),IFERROR(TRIM(INDEX($A29:$AB29,MATCH(Lists!$B$4,$A$1:$AB$1,0))&amp;""),"")))</f>
        <v/>
      </c>
      <c r="AU29" s="31">
        <f>IF(AR29="","",IFERROR(TRIM(INDEX($A29:$AB29,MATCH(Lists!$B$7,$A$1:$AB$1,0))&amp;""),""))</f>
        <v/>
      </c>
      <c r="AV29" s="31">
        <f>IF(AR29="","",IFERROR(TRIM(INDEX($A29:$AB29,MATCH(Lists!$B$9,$A$1:$AB$1,0))&amp;""),""))</f>
        <v/>
      </c>
      <c r="AW29" s="31">
        <f>IF(AR29="","",IFERROR(TRIM(INDEX($A29:$AB29,MATCH(Lists!$B$8,$A$1:$AB$1,0))&amp;""),""))</f>
        <v/>
      </c>
      <c r="AX29" s="23">
        <f>IF(AR29="","",IF(OR(TRIM(AE29&amp;"")&lt;&gt;"",AND(Skills!$B$5&lt;&gt;"",ISNUMBER(SEARCH(Skills!$B$5,AU29)))),1,0))</f>
        <v/>
      </c>
      <c r="AY29" s="23">
        <f>IF(AR29="","",IF(OR(TRIM(AF29&amp;"")&lt;&gt;"",AND(Skills!$B$6&lt;&gt;"",ISNUMBER(SEARCH(Skills!$B$6,AU29)))),1,0))</f>
        <v/>
      </c>
      <c r="AZ29" s="23">
        <f>IF(AR29="","",IF(OR(TRIM(AG29&amp;"")&lt;&gt;"",AND(Skills!$B$7&lt;&gt;"",ISNUMBER(SEARCH(Skills!$B$7,AU29)))),1,0))</f>
        <v/>
      </c>
      <c r="BA29" s="23">
        <f>IF(AR29="","",IF(OR(TRIM(AH29&amp;"")&lt;&gt;"",AND(Skills!$B$8&lt;&gt;"",ISNUMBER(SEARCH(Skills!$B$8,AU29)))),1,0))</f>
        <v/>
      </c>
      <c r="BB29" s="23">
        <f>IF(AR29="","",IF(OR(TRIM(AI29&amp;"")&lt;&gt;"",AND(Skills!$B$9&lt;&gt;"",ISNUMBER(SEARCH(Skills!$B$9,AU29)))),1,0))</f>
        <v/>
      </c>
      <c r="BC29" s="23">
        <f>IF(AR29="","",IF(OR(TRIM(AJ29&amp;"")&lt;&gt;"",AND(Skills!$B$10&lt;&gt;"",ISNUMBER(SEARCH(Skills!$B$10,AU29)))),1,0))</f>
        <v/>
      </c>
      <c r="BD29" s="23">
        <f>IF(AR29="","",IF(OR(TRIM(AK29&amp;"")&lt;&gt;"",AND(Skills!$B$11&lt;&gt;"",ISNUMBER(SEARCH(Skills!$B$11,AU29)))),1,0))</f>
        <v/>
      </c>
      <c r="BE29" s="23">
        <f>IF(AR29="","",IF(OR(TRIM(AL29&amp;"")&lt;&gt;"",AND(Skills!$B$12&lt;&gt;"",ISNUMBER(SEARCH(Skills!$B$12,AU29)))),1,0))</f>
        <v/>
      </c>
      <c r="BF29" s="23">
        <f>IF(AR29="","",IF(OR(TRIM(AM29&amp;"")&lt;&gt;"",AND(Skills!$B$13&lt;&gt;"",ISNUMBER(SEARCH(Skills!$B$13,AU29)))),1,0))</f>
        <v/>
      </c>
      <c r="BG29" s="23">
        <f>IF(AR29="","",IF(OR(TRIM(AN29&amp;"")&lt;&gt;"",AND(Skills!$B$14&lt;&gt;"",ISNUMBER(SEARCH(Skills!$B$14,AU29)))),1,0))</f>
        <v/>
      </c>
      <c r="BH29" s="23">
        <f>IF(AR29="","",IF(OR(TRIM(AO29&amp;"")&lt;&gt;"",AND(Skills!$B$15&lt;&gt;"",ISNUMBER(SEARCH(Skills!$B$15,AU29)))),1,0))</f>
        <v/>
      </c>
      <c r="BI29" s="23">
        <f>IF(AR29="","",IF(OR(TRIM(AP29&amp;"")&lt;&gt;"",AND(Skills!$B$16&lt;&gt;"",ISNUMBER(SEARCH(Skills!$B$16,AU29)))),1,0))</f>
        <v/>
      </c>
      <c r="BJ29" s="23">
        <f>IF(AR29="","",SUMPRODUCT($AX29:$BI29,Skills!$B$20:$M$20))</f>
        <v/>
      </c>
      <c r="BK29" s="23">
        <f>IF(AR29="","",BJ29*100000+(100000-ROW()))</f>
        <v/>
      </c>
      <c r="BL29" s="31">
        <f>IF(AR29="","",IF((IF(AND(AX29=1,Skills!$B$20=1),Skills!$B$5&amp;", ","")&amp;IF(AND(AY29=1,Skills!$C$20=1),Skills!$B$6&amp;", ","")&amp;IF(AND(AZ29=1,Skills!$D$20=1),Skills!$B$7&amp;", ","")&amp;IF(AND(BA29=1,Skills!$E$20=1),Skills!$B$8&amp;", ","")&amp;IF(AND(BB29=1,Skills!$F$20=1),Skills!$B$9&amp;", ","")&amp;IF(AND(BC29=1,Skills!$G$20=1),Skills!$B$10&amp;", ","")&amp;IF(AND(BD29=1,Skills!$H$20=1),Skills!$B$11&amp;", ","")&amp;IF(AND(BE29=1,Skills!$I$20=1),Skills!$B$12&amp;", ","")&amp;IF(AND(BF29=1,Skills!$J$20=1),Skills!$B$13&amp;", ","")&amp;IF(AND(BG29=1,Skills!$K$20=1),Skills!$B$14&amp;", ","")&amp;IF(AND(BH29=1,Skills!$L$20=1),Skills!$B$15&amp;", ","")&amp;IF(AND(BI29=1,Skills!$M$20=1),Skills!$B$16&amp;", ",""))="","",LEFT(IF(AND(AX29=1,Skills!$B$20=1),Skills!$B$5&amp;", ","")&amp;IF(AND(AY29=1,Skills!$C$20=1),Skills!$B$6&amp;", ","")&amp;IF(AND(AZ29=1,Skills!$D$20=1),Skills!$B$7&amp;", ","")&amp;IF(AND(BA29=1,Skills!$E$20=1),Skills!$B$8&amp;", ","")&amp;IF(AND(BB29=1,Skills!$F$20=1),Skills!$B$9&amp;", ","")&amp;IF(AND(BC29=1,Skills!$G$20=1),Skills!$B$10&amp;", ","")&amp;IF(AND(BD29=1,Skills!$H$20=1),Skills!$B$11&amp;", ","")&amp;IF(AND(BE29=1,Skills!$I$20=1),Skills!$B$12&amp;", ","")&amp;IF(AND(BF29=1,Skills!$J$20=1),Skills!$B$13&amp;", ","")&amp;IF(AND(BG29=1,Skills!$K$20=1),Skills!$B$14&amp;", ","")&amp;IF(AND(BH29=1,Skills!$L$20=1),Skills!$B$15&amp;", ","")&amp;IF(AND(BI29=1,Skills!$M$20=1),Skills!$B$16&amp;", ",""),LEN(IF(AND(AX29=1,Skills!$B$20=1),Skills!$B$5&amp;", ","")&amp;IF(AND(AY29=1,Skills!$C$20=1),Skills!$B$6&amp;", ","")&amp;IF(AND(AZ29=1,Skills!$D$20=1),Skills!$B$7&amp;", ","")&amp;IF(AND(BA29=1,Skills!$E$20=1),Skills!$B$8&amp;", ","")&amp;IF(AND(BB29=1,Skills!$F$20=1),Skills!$B$9&amp;", ","")&amp;IF(AND(BC29=1,Skills!$G$20=1),Skills!$B$10&amp;", ","")&amp;IF(AND(BD29=1,Skills!$H$20=1),Skills!$B$11&amp;", ","")&amp;IF(AND(BE29=1,Skills!$I$20=1),Skills!$B$12&amp;", ","")&amp;IF(AND(BF29=1,Skills!$J$20=1),Skills!$B$13&amp;", ","")&amp;IF(AND(BG29=1,Skills!$K$20=1),Skills!$B$14&amp;", ","")&amp;IF(AND(BH29=1,Skills!$L$20=1),Skills!$B$15&amp;", ","")&amp;IF(AND(BI29=1,Skills!$M$20=1),Skills!$B$16&amp;", ",""))-2)))</f>
        <v/>
      </c>
    </row>
    <row r="30">
      <c r="AD30" s="20" t="n"/>
      <c r="AE30" s="20" t="n"/>
      <c r="AF30" s="20" t="n"/>
      <c r="AG30" s="20" t="n"/>
      <c r="AH30" s="20" t="n"/>
      <c r="AI30" s="20" t="n"/>
      <c r="AJ30" s="20" t="n"/>
      <c r="AK30" s="20" t="n"/>
      <c r="AL30" s="20" t="n"/>
      <c r="AM30" s="20" t="n"/>
      <c r="AN30" s="20" t="n"/>
      <c r="AO30" s="20" t="n"/>
      <c r="AP30" s="20" t="n"/>
      <c r="AR30" s="31">
        <f>IF(IFERROR(TRIM(INDEX($A30:$AB30,MATCH(Lists!$B$5,$A$1:$AB$1,0))&amp;""),"")&lt;&gt;"",IFERROR(TRIM(INDEX($A30:$AB30,MATCH(Lists!$B$5,$A$1:$AB$1,0))&amp;""),""),IFERROR(TRIM(INDEX($A30:$AB30,MATCH(Lists!$B$3,$A$1:$AB$1,0))&amp;""),""))</f>
        <v/>
      </c>
      <c r="AS30" s="31">
        <f>IF(AR30="","",IF(IFERROR(TRIM(INDEX($A30:$AB30,MATCH(Lists!$B$5,$A$1:$AB$1,0))&amp;""),"")&lt;&gt;"","Nominated","Applied"))</f>
        <v/>
      </c>
      <c r="AT30" s="31">
        <f>IF(AR30="","",IF(IFERROR(TRIM(INDEX($A30:$AB30,MATCH(Lists!$B$5,$A$1:$AB$1,0))&amp;""),"")&lt;&gt;"",IFERROR(TRIM(INDEX($A30:$AB30,MATCH(Lists!$B$6,$A$1:$AB$1,0))&amp;""),""),IFERROR(TRIM(INDEX($A30:$AB30,MATCH(Lists!$B$4,$A$1:$AB$1,0))&amp;""),"")))</f>
        <v/>
      </c>
      <c r="AU30" s="31">
        <f>IF(AR30="","",IFERROR(TRIM(INDEX($A30:$AB30,MATCH(Lists!$B$7,$A$1:$AB$1,0))&amp;""),""))</f>
        <v/>
      </c>
      <c r="AV30" s="31">
        <f>IF(AR30="","",IFERROR(TRIM(INDEX($A30:$AB30,MATCH(Lists!$B$9,$A$1:$AB$1,0))&amp;""),""))</f>
        <v/>
      </c>
      <c r="AW30" s="31">
        <f>IF(AR30="","",IFERROR(TRIM(INDEX($A30:$AB30,MATCH(Lists!$B$8,$A$1:$AB$1,0))&amp;""),""))</f>
        <v/>
      </c>
      <c r="AX30" s="23">
        <f>IF(AR30="","",IF(OR(TRIM(AE30&amp;"")&lt;&gt;"",AND(Skills!$B$5&lt;&gt;"",ISNUMBER(SEARCH(Skills!$B$5,AU30)))),1,0))</f>
        <v/>
      </c>
      <c r="AY30" s="23">
        <f>IF(AR30="","",IF(OR(TRIM(AF30&amp;"")&lt;&gt;"",AND(Skills!$B$6&lt;&gt;"",ISNUMBER(SEARCH(Skills!$B$6,AU30)))),1,0))</f>
        <v/>
      </c>
      <c r="AZ30" s="23">
        <f>IF(AR30="","",IF(OR(TRIM(AG30&amp;"")&lt;&gt;"",AND(Skills!$B$7&lt;&gt;"",ISNUMBER(SEARCH(Skills!$B$7,AU30)))),1,0))</f>
        <v/>
      </c>
      <c r="BA30" s="23">
        <f>IF(AR30="","",IF(OR(TRIM(AH30&amp;"")&lt;&gt;"",AND(Skills!$B$8&lt;&gt;"",ISNUMBER(SEARCH(Skills!$B$8,AU30)))),1,0))</f>
        <v/>
      </c>
      <c r="BB30" s="23">
        <f>IF(AR30="","",IF(OR(TRIM(AI30&amp;"")&lt;&gt;"",AND(Skills!$B$9&lt;&gt;"",ISNUMBER(SEARCH(Skills!$B$9,AU30)))),1,0))</f>
        <v/>
      </c>
      <c r="BC30" s="23">
        <f>IF(AR30="","",IF(OR(TRIM(AJ30&amp;"")&lt;&gt;"",AND(Skills!$B$10&lt;&gt;"",ISNUMBER(SEARCH(Skills!$B$10,AU30)))),1,0))</f>
        <v/>
      </c>
      <c r="BD30" s="23">
        <f>IF(AR30="","",IF(OR(TRIM(AK30&amp;"")&lt;&gt;"",AND(Skills!$B$11&lt;&gt;"",ISNUMBER(SEARCH(Skills!$B$11,AU30)))),1,0))</f>
        <v/>
      </c>
      <c r="BE30" s="23">
        <f>IF(AR30="","",IF(OR(TRIM(AL30&amp;"")&lt;&gt;"",AND(Skills!$B$12&lt;&gt;"",ISNUMBER(SEARCH(Skills!$B$12,AU30)))),1,0))</f>
        <v/>
      </c>
      <c r="BF30" s="23">
        <f>IF(AR30="","",IF(OR(TRIM(AM30&amp;"")&lt;&gt;"",AND(Skills!$B$13&lt;&gt;"",ISNUMBER(SEARCH(Skills!$B$13,AU30)))),1,0))</f>
        <v/>
      </c>
      <c r="BG30" s="23">
        <f>IF(AR30="","",IF(OR(TRIM(AN30&amp;"")&lt;&gt;"",AND(Skills!$B$14&lt;&gt;"",ISNUMBER(SEARCH(Skills!$B$14,AU30)))),1,0))</f>
        <v/>
      </c>
      <c r="BH30" s="23">
        <f>IF(AR30="","",IF(OR(TRIM(AO30&amp;"")&lt;&gt;"",AND(Skills!$B$15&lt;&gt;"",ISNUMBER(SEARCH(Skills!$B$15,AU30)))),1,0))</f>
        <v/>
      </c>
      <c r="BI30" s="23">
        <f>IF(AR30="","",IF(OR(TRIM(AP30&amp;"")&lt;&gt;"",AND(Skills!$B$16&lt;&gt;"",ISNUMBER(SEARCH(Skills!$B$16,AU30)))),1,0))</f>
        <v/>
      </c>
      <c r="BJ30" s="23">
        <f>IF(AR30="","",SUMPRODUCT($AX30:$BI30,Skills!$B$20:$M$20))</f>
        <v/>
      </c>
      <c r="BK30" s="23">
        <f>IF(AR30="","",BJ30*100000+(100000-ROW()))</f>
        <v/>
      </c>
      <c r="BL30" s="31">
        <f>IF(AR30="","",IF((IF(AND(AX30=1,Skills!$B$20=1),Skills!$B$5&amp;", ","")&amp;IF(AND(AY30=1,Skills!$C$20=1),Skills!$B$6&amp;", ","")&amp;IF(AND(AZ30=1,Skills!$D$20=1),Skills!$B$7&amp;", ","")&amp;IF(AND(BA30=1,Skills!$E$20=1),Skills!$B$8&amp;", ","")&amp;IF(AND(BB30=1,Skills!$F$20=1),Skills!$B$9&amp;", ","")&amp;IF(AND(BC30=1,Skills!$G$20=1),Skills!$B$10&amp;", ","")&amp;IF(AND(BD30=1,Skills!$H$20=1),Skills!$B$11&amp;", ","")&amp;IF(AND(BE30=1,Skills!$I$20=1),Skills!$B$12&amp;", ","")&amp;IF(AND(BF30=1,Skills!$J$20=1),Skills!$B$13&amp;", ","")&amp;IF(AND(BG30=1,Skills!$K$20=1),Skills!$B$14&amp;", ","")&amp;IF(AND(BH30=1,Skills!$L$20=1),Skills!$B$15&amp;", ","")&amp;IF(AND(BI30=1,Skills!$M$20=1),Skills!$B$16&amp;", ",""))="","",LEFT(IF(AND(AX30=1,Skills!$B$20=1),Skills!$B$5&amp;", ","")&amp;IF(AND(AY30=1,Skills!$C$20=1),Skills!$B$6&amp;", ","")&amp;IF(AND(AZ30=1,Skills!$D$20=1),Skills!$B$7&amp;", ","")&amp;IF(AND(BA30=1,Skills!$E$20=1),Skills!$B$8&amp;", ","")&amp;IF(AND(BB30=1,Skills!$F$20=1),Skills!$B$9&amp;", ","")&amp;IF(AND(BC30=1,Skills!$G$20=1),Skills!$B$10&amp;", ","")&amp;IF(AND(BD30=1,Skills!$H$20=1),Skills!$B$11&amp;", ","")&amp;IF(AND(BE30=1,Skills!$I$20=1),Skills!$B$12&amp;", ","")&amp;IF(AND(BF30=1,Skills!$J$20=1),Skills!$B$13&amp;", ","")&amp;IF(AND(BG30=1,Skills!$K$20=1),Skills!$B$14&amp;", ","")&amp;IF(AND(BH30=1,Skills!$L$20=1),Skills!$B$15&amp;", ","")&amp;IF(AND(BI30=1,Skills!$M$20=1),Skills!$B$16&amp;", ",""),LEN(IF(AND(AX30=1,Skills!$B$20=1),Skills!$B$5&amp;", ","")&amp;IF(AND(AY30=1,Skills!$C$20=1),Skills!$B$6&amp;", ","")&amp;IF(AND(AZ30=1,Skills!$D$20=1),Skills!$B$7&amp;", ","")&amp;IF(AND(BA30=1,Skills!$E$20=1),Skills!$B$8&amp;", ","")&amp;IF(AND(BB30=1,Skills!$F$20=1),Skills!$B$9&amp;", ","")&amp;IF(AND(BC30=1,Skills!$G$20=1),Skills!$B$10&amp;", ","")&amp;IF(AND(BD30=1,Skills!$H$20=1),Skills!$B$11&amp;", ","")&amp;IF(AND(BE30=1,Skills!$I$20=1),Skills!$B$12&amp;", ","")&amp;IF(AND(BF30=1,Skills!$J$20=1),Skills!$B$13&amp;", ","")&amp;IF(AND(BG30=1,Skills!$K$20=1),Skills!$B$14&amp;", ","")&amp;IF(AND(BH30=1,Skills!$L$20=1),Skills!$B$15&amp;", ","")&amp;IF(AND(BI30=1,Skills!$M$20=1),Skills!$B$16&amp;", ",""))-2)))</f>
        <v/>
      </c>
    </row>
    <row r="31">
      <c r="AD31" s="20" t="n"/>
      <c r="AE31" s="20" t="n"/>
      <c r="AF31" s="20" t="n"/>
      <c r="AG31" s="20" t="n"/>
      <c r="AH31" s="20" t="n"/>
      <c r="AI31" s="20" t="n"/>
      <c r="AJ31" s="20" t="n"/>
      <c r="AK31" s="20" t="n"/>
      <c r="AL31" s="20" t="n"/>
      <c r="AM31" s="20" t="n"/>
      <c r="AN31" s="20" t="n"/>
      <c r="AO31" s="20" t="n"/>
      <c r="AP31" s="20" t="n"/>
      <c r="AR31" s="31">
        <f>IF(IFERROR(TRIM(INDEX($A31:$AB31,MATCH(Lists!$B$5,$A$1:$AB$1,0))&amp;""),"")&lt;&gt;"",IFERROR(TRIM(INDEX($A31:$AB31,MATCH(Lists!$B$5,$A$1:$AB$1,0))&amp;""),""),IFERROR(TRIM(INDEX($A31:$AB31,MATCH(Lists!$B$3,$A$1:$AB$1,0))&amp;""),""))</f>
        <v/>
      </c>
      <c r="AS31" s="31">
        <f>IF(AR31="","",IF(IFERROR(TRIM(INDEX($A31:$AB31,MATCH(Lists!$B$5,$A$1:$AB$1,0))&amp;""),"")&lt;&gt;"","Nominated","Applied"))</f>
        <v/>
      </c>
      <c r="AT31" s="31">
        <f>IF(AR31="","",IF(IFERROR(TRIM(INDEX($A31:$AB31,MATCH(Lists!$B$5,$A$1:$AB$1,0))&amp;""),"")&lt;&gt;"",IFERROR(TRIM(INDEX($A31:$AB31,MATCH(Lists!$B$6,$A$1:$AB$1,0))&amp;""),""),IFERROR(TRIM(INDEX($A31:$AB31,MATCH(Lists!$B$4,$A$1:$AB$1,0))&amp;""),"")))</f>
        <v/>
      </c>
      <c r="AU31" s="31">
        <f>IF(AR31="","",IFERROR(TRIM(INDEX($A31:$AB31,MATCH(Lists!$B$7,$A$1:$AB$1,0))&amp;""),""))</f>
        <v/>
      </c>
      <c r="AV31" s="31">
        <f>IF(AR31="","",IFERROR(TRIM(INDEX($A31:$AB31,MATCH(Lists!$B$9,$A$1:$AB$1,0))&amp;""),""))</f>
        <v/>
      </c>
      <c r="AW31" s="31">
        <f>IF(AR31="","",IFERROR(TRIM(INDEX($A31:$AB31,MATCH(Lists!$B$8,$A$1:$AB$1,0))&amp;""),""))</f>
        <v/>
      </c>
      <c r="AX31" s="23">
        <f>IF(AR31="","",IF(OR(TRIM(AE31&amp;"")&lt;&gt;"",AND(Skills!$B$5&lt;&gt;"",ISNUMBER(SEARCH(Skills!$B$5,AU31)))),1,0))</f>
        <v/>
      </c>
      <c r="AY31" s="23">
        <f>IF(AR31="","",IF(OR(TRIM(AF31&amp;"")&lt;&gt;"",AND(Skills!$B$6&lt;&gt;"",ISNUMBER(SEARCH(Skills!$B$6,AU31)))),1,0))</f>
        <v/>
      </c>
      <c r="AZ31" s="23">
        <f>IF(AR31="","",IF(OR(TRIM(AG31&amp;"")&lt;&gt;"",AND(Skills!$B$7&lt;&gt;"",ISNUMBER(SEARCH(Skills!$B$7,AU31)))),1,0))</f>
        <v/>
      </c>
      <c r="BA31" s="23">
        <f>IF(AR31="","",IF(OR(TRIM(AH31&amp;"")&lt;&gt;"",AND(Skills!$B$8&lt;&gt;"",ISNUMBER(SEARCH(Skills!$B$8,AU31)))),1,0))</f>
        <v/>
      </c>
      <c r="BB31" s="23">
        <f>IF(AR31="","",IF(OR(TRIM(AI31&amp;"")&lt;&gt;"",AND(Skills!$B$9&lt;&gt;"",ISNUMBER(SEARCH(Skills!$B$9,AU31)))),1,0))</f>
        <v/>
      </c>
      <c r="BC31" s="23">
        <f>IF(AR31="","",IF(OR(TRIM(AJ31&amp;"")&lt;&gt;"",AND(Skills!$B$10&lt;&gt;"",ISNUMBER(SEARCH(Skills!$B$10,AU31)))),1,0))</f>
        <v/>
      </c>
      <c r="BD31" s="23">
        <f>IF(AR31="","",IF(OR(TRIM(AK31&amp;"")&lt;&gt;"",AND(Skills!$B$11&lt;&gt;"",ISNUMBER(SEARCH(Skills!$B$11,AU31)))),1,0))</f>
        <v/>
      </c>
      <c r="BE31" s="23">
        <f>IF(AR31="","",IF(OR(TRIM(AL31&amp;"")&lt;&gt;"",AND(Skills!$B$12&lt;&gt;"",ISNUMBER(SEARCH(Skills!$B$12,AU31)))),1,0))</f>
        <v/>
      </c>
      <c r="BF31" s="23">
        <f>IF(AR31="","",IF(OR(TRIM(AM31&amp;"")&lt;&gt;"",AND(Skills!$B$13&lt;&gt;"",ISNUMBER(SEARCH(Skills!$B$13,AU31)))),1,0))</f>
        <v/>
      </c>
      <c r="BG31" s="23">
        <f>IF(AR31="","",IF(OR(TRIM(AN31&amp;"")&lt;&gt;"",AND(Skills!$B$14&lt;&gt;"",ISNUMBER(SEARCH(Skills!$B$14,AU31)))),1,0))</f>
        <v/>
      </c>
      <c r="BH31" s="23">
        <f>IF(AR31="","",IF(OR(TRIM(AO31&amp;"")&lt;&gt;"",AND(Skills!$B$15&lt;&gt;"",ISNUMBER(SEARCH(Skills!$B$15,AU31)))),1,0))</f>
        <v/>
      </c>
      <c r="BI31" s="23">
        <f>IF(AR31="","",IF(OR(TRIM(AP31&amp;"")&lt;&gt;"",AND(Skills!$B$16&lt;&gt;"",ISNUMBER(SEARCH(Skills!$B$16,AU31)))),1,0))</f>
        <v/>
      </c>
      <c r="BJ31" s="23">
        <f>IF(AR31="","",SUMPRODUCT($AX31:$BI31,Skills!$B$20:$M$20))</f>
        <v/>
      </c>
      <c r="BK31" s="23">
        <f>IF(AR31="","",BJ31*100000+(100000-ROW()))</f>
        <v/>
      </c>
      <c r="BL31" s="31">
        <f>IF(AR31="","",IF((IF(AND(AX31=1,Skills!$B$20=1),Skills!$B$5&amp;", ","")&amp;IF(AND(AY31=1,Skills!$C$20=1),Skills!$B$6&amp;", ","")&amp;IF(AND(AZ31=1,Skills!$D$20=1),Skills!$B$7&amp;", ","")&amp;IF(AND(BA31=1,Skills!$E$20=1),Skills!$B$8&amp;", ","")&amp;IF(AND(BB31=1,Skills!$F$20=1),Skills!$B$9&amp;", ","")&amp;IF(AND(BC31=1,Skills!$G$20=1),Skills!$B$10&amp;", ","")&amp;IF(AND(BD31=1,Skills!$H$20=1),Skills!$B$11&amp;", ","")&amp;IF(AND(BE31=1,Skills!$I$20=1),Skills!$B$12&amp;", ","")&amp;IF(AND(BF31=1,Skills!$J$20=1),Skills!$B$13&amp;", ","")&amp;IF(AND(BG31=1,Skills!$K$20=1),Skills!$B$14&amp;", ","")&amp;IF(AND(BH31=1,Skills!$L$20=1),Skills!$B$15&amp;", ","")&amp;IF(AND(BI31=1,Skills!$M$20=1),Skills!$B$16&amp;", ",""))="","",LEFT(IF(AND(AX31=1,Skills!$B$20=1),Skills!$B$5&amp;", ","")&amp;IF(AND(AY31=1,Skills!$C$20=1),Skills!$B$6&amp;", ","")&amp;IF(AND(AZ31=1,Skills!$D$20=1),Skills!$B$7&amp;", ","")&amp;IF(AND(BA31=1,Skills!$E$20=1),Skills!$B$8&amp;", ","")&amp;IF(AND(BB31=1,Skills!$F$20=1),Skills!$B$9&amp;", ","")&amp;IF(AND(BC31=1,Skills!$G$20=1),Skills!$B$10&amp;", ","")&amp;IF(AND(BD31=1,Skills!$H$20=1),Skills!$B$11&amp;", ","")&amp;IF(AND(BE31=1,Skills!$I$20=1),Skills!$B$12&amp;", ","")&amp;IF(AND(BF31=1,Skills!$J$20=1),Skills!$B$13&amp;", ","")&amp;IF(AND(BG31=1,Skills!$K$20=1),Skills!$B$14&amp;", ","")&amp;IF(AND(BH31=1,Skills!$L$20=1),Skills!$B$15&amp;", ","")&amp;IF(AND(BI31=1,Skills!$M$20=1),Skills!$B$16&amp;", ",""),LEN(IF(AND(AX31=1,Skills!$B$20=1),Skills!$B$5&amp;", ","")&amp;IF(AND(AY31=1,Skills!$C$20=1),Skills!$B$6&amp;", ","")&amp;IF(AND(AZ31=1,Skills!$D$20=1),Skills!$B$7&amp;", ","")&amp;IF(AND(BA31=1,Skills!$E$20=1),Skills!$B$8&amp;", ","")&amp;IF(AND(BB31=1,Skills!$F$20=1),Skills!$B$9&amp;", ","")&amp;IF(AND(BC31=1,Skills!$G$20=1),Skills!$B$10&amp;", ","")&amp;IF(AND(BD31=1,Skills!$H$20=1),Skills!$B$11&amp;", ","")&amp;IF(AND(BE31=1,Skills!$I$20=1),Skills!$B$12&amp;", ","")&amp;IF(AND(BF31=1,Skills!$J$20=1),Skills!$B$13&amp;", ","")&amp;IF(AND(BG31=1,Skills!$K$20=1),Skills!$B$14&amp;", ","")&amp;IF(AND(BH31=1,Skills!$L$20=1),Skills!$B$15&amp;", ","")&amp;IF(AND(BI31=1,Skills!$M$20=1),Skills!$B$16&amp;", ",""))-2)))</f>
        <v/>
      </c>
    </row>
    <row r="32">
      <c r="AD32" s="20" t="n"/>
      <c r="AE32" s="20" t="n"/>
      <c r="AF32" s="20" t="n"/>
      <c r="AG32" s="20" t="n"/>
      <c r="AH32" s="20" t="n"/>
      <c r="AI32" s="20" t="n"/>
      <c r="AJ32" s="20" t="n"/>
      <c r="AK32" s="20" t="n"/>
      <c r="AL32" s="20" t="n"/>
      <c r="AM32" s="20" t="n"/>
      <c r="AN32" s="20" t="n"/>
      <c r="AO32" s="20" t="n"/>
      <c r="AP32" s="20" t="n"/>
      <c r="AR32" s="31">
        <f>IF(IFERROR(TRIM(INDEX($A32:$AB32,MATCH(Lists!$B$5,$A$1:$AB$1,0))&amp;""),"")&lt;&gt;"",IFERROR(TRIM(INDEX($A32:$AB32,MATCH(Lists!$B$5,$A$1:$AB$1,0))&amp;""),""),IFERROR(TRIM(INDEX($A32:$AB32,MATCH(Lists!$B$3,$A$1:$AB$1,0))&amp;""),""))</f>
        <v/>
      </c>
      <c r="AS32" s="31">
        <f>IF(AR32="","",IF(IFERROR(TRIM(INDEX($A32:$AB32,MATCH(Lists!$B$5,$A$1:$AB$1,0))&amp;""),"")&lt;&gt;"","Nominated","Applied"))</f>
        <v/>
      </c>
      <c r="AT32" s="31">
        <f>IF(AR32="","",IF(IFERROR(TRIM(INDEX($A32:$AB32,MATCH(Lists!$B$5,$A$1:$AB$1,0))&amp;""),"")&lt;&gt;"",IFERROR(TRIM(INDEX($A32:$AB32,MATCH(Lists!$B$6,$A$1:$AB$1,0))&amp;""),""),IFERROR(TRIM(INDEX($A32:$AB32,MATCH(Lists!$B$4,$A$1:$AB$1,0))&amp;""),"")))</f>
        <v/>
      </c>
      <c r="AU32" s="31">
        <f>IF(AR32="","",IFERROR(TRIM(INDEX($A32:$AB32,MATCH(Lists!$B$7,$A$1:$AB$1,0))&amp;""),""))</f>
        <v/>
      </c>
      <c r="AV32" s="31">
        <f>IF(AR32="","",IFERROR(TRIM(INDEX($A32:$AB32,MATCH(Lists!$B$9,$A$1:$AB$1,0))&amp;""),""))</f>
        <v/>
      </c>
      <c r="AW32" s="31">
        <f>IF(AR32="","",IFERROR(TRIM(INDEX($A32:$AB32,MATCH(Lists!$B$8,$A$1:$AB$1,0))&amp;""),""))</f>
        <v/>
      </c>
      <c r="AX32" s="23">
        <f>IF(AR32="","",IF(OR(TRIM(AE32&amp;"")&lt;&gt;"",AND(Skills!$B$5&lt;&gt;"",ISNUMBER(SEARCH(Skills!$B$5,AU32)))),1,0))</f>
        <v/>
      </c>
      <c r="AY32" s="23">
        <f>IF(AR32="","",IF(OR(TRIM(AF32&amp;"")&lt;&gt;"",AND(Skills!$B$6&lt;&gt;"",ISNUMBER(SEARCH(Skills!$B$6,AU32)))),1,0))</f>
        <v/>
      </c>
      <c r="AZ32" s="23">
        <f>IF(AR32="","",IF(OR(TRIM(AG32&amp;"")&lt;&gt;"",AND(Skills!$B$7&lt;&gt;"",ISNUMBER(SEARCH(Skills!$B$7,AU32)))),1,0))</f>
        <v/>
      </c>
      <c r="BA32" s="23">
        <f>IF(AR32="","",IF(OR(TRIM(AH32&amp;"")&lt;&gt;"",AND(Skills!$B$8&lt;&gt;"",ISNUMBER(SEARCH(Skills!$B$8,AU32)))),1,0))</f>
        <v/>
      </c>
      <c r="BB32" s="23">
        <f>IF(AR32="","",IF(OR(TRIM(AI32&amp;"")&lt;&gt;"",AND(Skills!$B$9&lt;&gt;"",ISNUMBER(SEARCH(Skills!$B$9,AU32)))),1,0))</f>
        <v/>
      </c>
      <c r="BC32" s="23">
        <f>IF(AR32="","",IF(OR(TRIM(AJ32&amp;"")&lt;&gt;"",AND(Skills!$B$10&lt;&gt;"",ISNUMBER(SEARCH(Skills!$B$10,AU32)))),1,0))</f>
        <v/>
      </c>
      <c r="BD32" s="23">
        <f>IF(AR32="","",IF(OR(TRIM(AK32&amp;"")&lt;&gt;"",AND(Skills!$B$11&lt;&gt;"",ISNUMBER(SEARCH(Skills!$B$11,AU32)))),1,0))</f>
        <v/>
      </c>
      <c r="BE32" s="23">
        <f>IF(AR32="","",IF(OR(TRIM(AL32&amp;"")&lt;&gt;"",AND(Skills!$B$12&lt;&gt;"",ISNUMBER(SEARCH(Skills!$B$12,AU32)))),1,0))</f>
        <v/>
      </c>
      <c r="BF32" s="23">
        <f>IF(AR32="","",IF(OR(TRIM(AM32&amp;"")&lt;&gt;"",AND(Skills!$B$13&lt;&gt;"",ISNUMBER(SEARCH(Skills!$B$13,AU32)))),1,0))</f>
        <v/>
      </c>
      <c r="BG32" s="23">
        <f>IF(AR32="","",IF(OR(TRIM(AN32&amp;"")&lt;&gt;"",AND(Skills!$B$14&lt;&gt;"",ISNUMBER(SEARCH(Skills!$B$14,AU32)))),1,0))</f>
        <v/>
      </c>
      <c r="BH32" s="23">
        <f>IF(AR32="","",IF(OR(TRIM(AO32&amp;"")&lt;&gt;"",AND(Skills!$B$15&lt;&gt;"",ISNUMBER(SEARCH(Skills!$B$15,AU32)))),1,0))</f>
        <v/>
      </c>
      <c r="BI32" s="23">
        <f>IF(AR32="","",IF(OR(TRIM(AP32&amp;"")&lt;&gt;"",AND(Skills!$B$16&lt;&gt;"",ISNUMBER(SEARCH(Skills!$B$16,AU32)))),1,0))</f>
        <v/>
      </c>
      <c r="BJ32" s="23">
        <f>IF(AR32="","",SUMPRODUCT($AX32:$BI32,Skills!$B$20:$M$20))</f>
        <v/>
      </c>
      <c r="BK32" s="23">
        <f>IF(AR32="","",BJ32*100000+(100000-ROW()))</f>
        <v/>
      </c>
      <c r="BL32" s="31">
        <f>IF(AR32="","",IF((IF(AND(AX32=1,Skills!$B$20=1),Skills!$B$5&amp;", ","")&amp;IF(AND(AY32=1,Skills!$C$20=1),Skills!$B$6&amp;", ","")&amp;IF(AND(AZ32=1,Skills!$D$20=1),Skills!$B$7&amp;", ","")&amp;IF(AND(BA32=1,Skills!$E$20=1),Skills!$B$8&amp;", ","")&amp;IF(AND(BB32=1,Skills!$F$20=1),Skills!$B$9&amp;", ","")&amp;IF(AND(BC32=1,Skills!$G$20=1),Skills!$B$10&amp;", ","")&amp;IF(AND(BD32=1,Skills!$H$20=1),Skills!$B$11&amp;", ","")&amp;IF(AND(BE32=1,Skills!$I$20=1),Skills!$B$12&amp;", ","")&amp;IF(AND(BF32=1,Skills!$J$20=1),Skills!$B$13&amp;", ","")&amp;IF(AND(BG32=1,Skills!$K$20=1),Skills!$B$14&amp;", ","")&amp;IF(AND(BH32=1,Skills!$L$20=1),Skills!$B$15&amp;", ","")&amp;IF(AND(BI32=1,Skills!$M$20=1),Skills!$B$16&amp;", ",""))="","",LEFT(IF(AND(AX32=1,Skills!$B$20=1),Skills!$B$5&amp;", ","")&amp;IF(AND(AY32=1,Skills!$C$20=1),Skills!$B$6&amp;", ","")&amp;IF(AND(AZ32=1,Skills!$D$20=1),Skills!$B$7&amp;", ","")&amp;IF(AND(BA32=1,Skills!$E$20=1),Skills!$B$8&amp;", ","")&amp;IF(AND(BB32=1,Skills!$F$20=1),Skills!$B$9&amp;", ","")&amp;IF(AND(BC32=1,Skills!$G$20=1),Skills!$B$10&amp;", ","")&amp;IF(AND(BD32=1,Skills!$H$20=1),Skills!$B$11&amp;", ","")&amp;IF(AND(BE32=1,Skills!$I$20=1),Skills!$B$12&amp;", ","")&amp;IF(AND(BF32=1,Skills!$J$20=1),Skills!$B$13&amp;", ","")&amp;IF(AND(BG32=1,Skills!$K$20=1),Skills!$B$14&amp;", ","")&amp;IF(AND(BH32=1,Skills!$L$20=1),Skills!$B$15&amp;", ","")&amp;IF(AND(BI32=1,Skills!$M$20=1),Skills!$B$16&amp;", ",""),LEN(IF(AND(AX32=1,Skills!$B$20=1),Skills!$B$5&amp;", ","")&amp;IF(AND(AY32=1,Skills!$C$20=1),Skills!$B$6&amp;", ","")&amp;IF(AND(AZ32=1,Skills!$D$20=1),Skills!$B$7&amp;", ","")&amp;IF(AND(BA32=1,Skills!$E$20=1),Skills!$B$8&amp;", ","")&amp;IF(AND(BB32=1,Skills!$F$20=1),Skills!$B$9&amp;", ","")&amp;IF(AND(BC32=1,Skills!$G$20=1),Skills!$B$10&amp;", ","")&amp;IF(AND(BD32=1,Skills!$H$20=1),Skills!$B$11&amp;", ","")&amp;IF(AND(BE32=1,Skills!$I$20=1),Skills!$B$12&amp;", ","")&amp;IF(AND(BF32=1,Skills!$J$20=1),Skills!$B$13&amp;", ","")&amp;IF(AND(BG32=1,Skills!$K$20=1),Skills!$B$14&amp;", ","")&amp;IF(AND(BH32=1,Skills!$L$20=1),Skills!$B$15&amp;", ","")&amp;IF(AND(BI32=1,Skills!$M$20=1),Skills!$B$16&amp;", ",""))-2)))</f>
        <v/>
      </c>
    </row>
    <row r="33">
      <c r="AD33" s="20" t="n"/>
      <c r="AE33" s="20" t="n"/>
      <c r="AF33" s="20" t="n"/>
      <c r="AG33" s="20" t="n"/>
      <c r="AH33" s="20" t="n"/>
      <c r="AI33" s="20" t="n"/>
      <c r="AJ33" s="20" t="n"/>
      <c r="AK33" s="20" t="n"/>
      <c r="AL33" s="20" t="n"/>
      <c r="AM33" s="20" t="n"/>
      <c r="AN33" s="20" t="n"/>
      <c r="AO33" s="20" t="n"/>
      <c r="AP33" s="20" t="n"/>
      <c r="AR33" s="31">
        <f>IF(IFERROR(TRIM(INDEX($A33:$AB33,MATCH(Lists!$B$5,$A$1:$AB$1,0))&amp;""),"")&lt;&gt;"",IFERROR(TRIM(INDEX($A33:$AB33,MATCH(Lists!$B$5,$A$1:$AB$1,0))&amp;""),""),IFERROR(TRIM(INDEX($A33:$AB33,MATCH(Lists!$B$3,$A$1:$AB$1,0))&amp;""),""))</f>
        <v/>
      </c>
      <c r="AS33" s="31">
        <f>IF(AR33="","",IF(IFERROR(TRIM(INDEX($A33:$AB33,MATCH(Lists!$B$5,$A$1:$AB$1,0))&amp;""),"")&lt;&gt;"","Nominated","Applied"))</f>
        <v/>
      </c>
      <c r="AT33" s="31">
        <f>IF(AR33="","",IF(IFERROR(TRIM(INDEX($A33:$AB33,MATCH(Lists!$B$5,$A$1:$AB$1,0))&amp;""),"")&lt;&gt;"",IFERROR(TRIM(INDEX($A33:$AB33,MATCH(Lists!$B$6,$A$1:$AB$1,0))&amp;""),""),IFERROR(TRIM(INDEX($A33:$AB33,MATCH(Lists!$B$4,$A$1:$AB$1,0))&amp;""),"")))</f>
        <v/>
      </c>
      <c r="AU33" s="31">
        <f>IF(AR33="","",IFERROR(TRIM(INDEX($A33:$AB33,MATCH(Lists!$B$7,$A$1:$AB$1,0))&amp;""),""))</f>
        <v/>
      </c>
      <c r="AV33" s="31">
        <f>IF(AR33="","",IFERROR(TRIM(INDEX($A33:$AB33,MATCH(Lists!$B$9,$A$1:$AB$1,0))&amp;""),""))</f>
        <v/>
      </c>
      <c r="AW33" s="31">
        <f>IF(AR33="","",IFERROR(TRIM(INDEX($A33:$AB33,MATCH(Lists!$B$8,$A$1:$AB$1,0))&amp;""),""))</f>
        <v/>
      </c>
      <c r="AX33" s="23">
        <f>IF(AR33="","",IF(OR(TRIM(AE33&amp;"")&lt;&gt;"",AND(Skills!$B$5&lt;&gt;"",ISNUMBER(SEARCH(Skills!$B$5,AU33)))),1,0))</f>
        <v/>
      </c>
      <c r="AY33" s="23">
        <f>IF(AR33="","",IF(OR(TRIM(AF33&amp;"")&lt;&gt;"",AND(Skills!$B$6&lt;&gt;"",ISNUMBER(SEARCH(Skills!$B$6,AU33)))),1,0))</f>
        <v/>
      </c>
      <c r="AZ33" s="23">
        <f>IF(AR33="","",IF(OR(TRIM(AG33&amp;"")&lt;&gt;"",AND(Skills!$B$7&lt;&gt;"",ISNUMBER(SEARCH(Skills!$B$7,AU33)))),1,0))</f>
        <v/>
      </c>
      <c r="BA33" s="23">
        <f>IF(AR33="","",IF(OR(TRIM(AH33&amp;"")&lt;&gt;"",AND(Skills!$B$8&lt;&gt;"",ISNUMBER(SEARCH(Skills!$B$8,AU33)))),1,0))</f>
        <v/>
      </c>
      <c r="BB33" s="23">
        <f>IF(AR33="","",IF(OR(TRIM(AI33&amp;"")&lt;&gt;"",AND(Skills!$B$9&lt;&gt;"",ISNUMBER(SEARCH(Skills!$B$9,AU33)))),1,0))</f>
        <v/>
      </c>
      <c r="BC33" s="23">
        <f>IF(AR33="","",IF(OR(TRIM(AJ33&amp;"")&lt;&gt;"",AND(Skills!$B$10&lt;&gt;"",ISNUMBER(SEARCH(Skills!$B$10,AU33)))),1,0))</f>
        <v/>
      </c>
      <c r="BD33" s="23">
        <f>IF(AR33="","",IF(OR(TRIM(AK33&amp;"")&lt;&gt;"",AND(Skills!$B$11&lt;&gt;"",ISNUMBER(SEARCH(Skills!$B$11,AU33)))),1,0))</f>
        <v/>
      </c>
      <c r="BE33" s="23">
        <f>IF(AR33="","",IF(OR(TRIM(AL33&amp;"")&lt;&gt;"",AND(Skills!$B$12&lt;&gt;"",ISNUMBER(SEARCH(Skills!$B$12,AU33)))),1,0))</f>
        <v/>
      </c>
      <c r="BF33" s="23">
        <f>IF(AR33="","",IF(OR(TRIM(AM33&amp;"")&lt;&gt;"",AND(Skills!$B$13&lt;&gt;"",ISNUMBER(SEARCH(Skills!$B$13,AU33)))),1,0))</f>
        <v/>
      </c>
      <c r="BG33" s="23">
        <f>IF(AR33="","",IF(OR(TRIM(AN33&amp;"")&lt;&gt;"",AND(Skills!$B$14&lt;&gt;"",ISNUMBER(SEARCH(Skills!$B$14,AU33)))),1,0))</f>
        <v/>
      </c>
      <c r="BH33" s="23">
        <f>IF(AR33="","",IF(OR(TRIM(AO33&amp;"")&lt;&gt;"",AND(Skills!$B$15&lt;&gt;"",ISNUMBER(SEARCH(Skills!$B$15,AU33)))),1,0))</f>
        <v/>
      </c>
      <c r="BI33" s="23">
        <f>IF(AR33="","",IF(OR(TRIM(AP33&amp;"")&lt;&gt;"",AND(Skills!$B$16&lt;&gt;"",ISNUMBER(SEARCH(Skills!$B$16,AU33)))),1,0))</f>
        <v/>
      </c>
      <c r="BJ33" s="23">
        <f>IF(AR33="","",SUMPRODUCT($AX33:$BI33,Skills!$B$20:$M$20))</f>
        <v/>
      </c>
      <c r="BK33" s="23">
        <f>IF(AR33="","",BJ33*100000+(100000-ROW()))</f>
        <v/>
      </c>
      <c r="BL33" s="31">
        <f>IF(AR33="","",IF((IF(AND(AX33=1,Skills!$B$20=1),Skills!$B$5&amp;", ","")&amp;IF(AND(AY33=1,Skills!$C$20=1),Skills!$B$6&amp;", ","")&amp;IF(AND(AZ33=1,Skills!$D$20=1),Skills!$B$7&amp;", ","")&amp;IF(AND(BA33=1,Skills!$E$20=1),Skills!$B$8&amp;", ","")&amp;IF(AND(BB33=1,Skills!$F$20=1),Skills!$B$9&amp;", ","")&amp;IF(AND(BC33=1,Skills!$G$20=1),Skills!$B$10&amp;", ","")&amp;IF(AND(BD33=1,Skills!$H$20=1),Skills!$B$11&amp;", ","")&amp;IF(AND(BE33=1,Skills!$I$20=1),Skills!$B$12&amp;", ","")&amp;IF(AND(BF33=1,Skills!$J$20=1),Skills!$B$13&amp;", ","")&amp;IF(AND(BG33=1,Skills!$K$20=1),Skills!$B$14&amp;", ","")&amp;IF(AND(BH33=1,Skills!$L$20=1),Skills!$B$15&amp;", ","")&amp;IF(AND(BI33=1,Skills!$M$20=1),Skills!$B$16&amp;", ",""))="","",LEFT(IF(AND(AX33=1,Skills!$B$20=1),Skills!$B$5&amp;", ","")&amp;IF(AND(AY33=1,Skills!$C$20=1),Skills!$B$6&amp;", ","")&amp;IF(AND(AZ33=1,Skills!$D$20=1),Skills!$B$7&amp;", ","")&amp;IF(AND(BA33=1,Skills!$E$20=1),Skills!$B$8&amp;", ","")&amp;IF(AND(BB33=1,Skills!$F$20=1),Skills!$B$9&amp;", ","")&amp;IF(AND(BC33=1,Skills!$G$20=1),Skills!$B$10&amp;", ","")&amp;IF(AND(BD33=1,Skills!$H$20=1),Skills!$B$11&amp;", ","")&amp;IF(AND(BE33=1,Skills!$I$20=1),Skills!$B$12&amp;", ","")&amp;IF(AND(BF33=1,Skills!$J$20=1),Skills!$B$13&amp;", ","")&amp;IF(AND(BG33=1,Skills!$K$20=1),Skills!$B$14&amp;", ","")&amp;IF(AND(BH33=1,Skills!$L$20=1),Skills!$B$15&amp;", ","")&amp;IF(AND(BI33=1,Skills!$M$20=1),Skills!$B$16&amp;", ",""),LEN(IF(AND(AX33=1,Skills!$B$20=1),Skills!$B$5&amp;", ","")&amp;IF(AND(AY33=1,Skills!$C$20=1),Skills!$B$6&amp;", ","")&amp;IF(AND(AZ33=1,Skills!$D$20=1),Skills!$B$7&amp;", ","")&amp;IF(AND(BA33=1,Skills!$E$20=1),Skills!$B$8&amp;", ","")&amp;IF(AND(BB33=1,Skills!$F$20=1),Skills!$B$9&amp;", ","")&amp;IF(AND(BC33=1,Skills!$G$20=1),Skills!$B$10&amp;", ","")&amp;IF(AND(BD33=1,Skills!$H$20=1),Skills!$B$11&amp;", ","")&amp;IF(AND(BE33=1,Skills!$I$20=1),Skills!$B$12&amp;", ","")&amp;IF(AND(BF33=1,Skills!$J$20=1),Skills!$B$13&amp;", ","")&amp;IF(AND(BG33=1,Skills!$K$20=1),Skills!$B$14&amp;", ","")&amp;IF(AND(BH33=1,Skills!$L$20=1),Skills!$B$15&amp;", ","")&amp;IF(AND(BI33=1,Skills!$M$20=1),Skills!$B$16&amp;", ",""))-2)))</f>
        <v/>
      </c>
    </row>
    <row r="34">
      <c r="AD34" s="20" t="n"/>
      <c r="AE34" s="20" t="n"/>
      <c r="AF34" s="20" t="n"/>
      <c r="AG34" s="20" t="n"/>
      <c r="AH34" s="20" t="n"/>
      <c r="AI34" s="20" t="n"/>
      <c r="AJ34" s="20" t="n"/>
      <c r="AK34" s="20" t="n"/>
      <c r="AL34" s="20" t="n"/>
      <c r="AM34" s="20" t="n"/>
      <c r="AN34" s="20" t="n"/>
      <c r="AO34" s="20" t="n"/>
      <c r="AP34" s="20" t="n"/>
      <c r="AR34" s="31">
        <f>IF(IFERROR(TRIM(INDEX($A34:$AB34,MATCH(Lists!$B$5,$A$1:$AB$1,0))&amp;""),"")&lt;&gt;"",IFERROR(TRIM(INDEX($A34:$AB34,MATCH(Lists!$B$5,$A$1:$AB$1,0))&amp;""),""),IFERROR(TRIM(INDEX($A34:$AB34,MATCH(Lists!$B$3,$A$1:$AB$1,0))&amp;""),""))</f>
        <v/>
      </c>
      <c r="AS34" s="31">
        <f>IF(AR34="","",IF(IFERROR(TRIM(INDEX($A34:$AB34,MATCH(Lists!$B$5,$A$1:$AB$1,0))&amp;""),"")&lt;&gt;"","Nominated","Applied"))</f>
        <v/>
      </c>
      <c r="AT34" s="31">
        <f>IF(AR34="","",IF(IFERROR(TRIM(INDEX($A34:$AB34,MATCH(Lists!$B$5,$A$1:$AB$1,0))&amp;""),"")&lt;&gt;"",IFERROR(TRIM(INDEX($A34:$AB34,MATCH(Lists!$B$6,$A$1:$AB$1,0))&amp;""),""),IFERROR(TRIM(INDEX($A34:$AB34,MATCH(Lists!$B$4,$A$1:$AB$1,0))&amp;""),"")))</f>
        <v/>
      </c>
      <c r="AU34" s="31">
        <f>IF(AR34="","",IFERROR(TRIM(INDEX($A34:$AB34,MATCH(Lists!$B$7,$A$1:$AB$1,0))&amp;""),""))</f>
        <v/>
      </c>
      <c r="AV34" s="31">
        <f>IF(AR34="","",IFERROR(TRIM(INDEX($A34:$AB34,MATCH(Lists!$B$9,$A$1:$AB$1,0))&amp;""),""))</f>
        <v/>
      </c>
      <c r="AW34" s="31">
        <f>IF(AR34="","",IFERROR(TRIM(INDEX($A34:$AB34,MATCH(Lists!$B$8,$A$1:$AB$1,0))&amp;""),""))</f>
        <v/>
      </c>
      <c r="AX34" s="23">
        <f>IF(AR34="","",IF(OR(TRIM(AE34&amp;"")&lt;&gt;"",AND(Skills!$B$5&lt;&gt;"",ISNUMBER(SEARCH(Skills!$B$5,AU34)))),1,0))</f>
        <v/>
      </c>
      <c r="AY34" s="23">
        <f>IF(AR34="","",IF(OR(TRIM(AF34&amp;"")&lt;&gt;"",AND(Skills!$B$6&lt;&gt;"",ISNUMBER(SEARCH(Skills!$B$6,AU34)))),1,0))</f>
        <v/>
      </c>
      <c r="AZ34" s="23">
        <f>IF(AR34="","",IF(OR(TRIM(AG34&amp;"")&lt;&gt;"",AND(Skills!$B$7&lt;&gt;"",ISNUMBER(SEARCH(Skills!$B$7,AU34)))),1,0))</f>
        <v/>
      </c>
      <c r="BA34" s="23">
        <f>IF(AR34="","",IF(OR(TRIM(AH34&amp;"")&lt;&gt;"",AND(Skills!$B$8&lt;&gt;"",ISNUMBER(SEARCH(Skills!$B$8,AU34)))),1,0))</f>
        <v/>
      </c>
      <c r="BB34" s="23">
        <f>IF(AR34="","",IF(OR(TRIM(AI34&amp;"")&lt;&gt;"",AND(Skills!$B$9&lt;&gt;"",ISNUMBER(SEARCH(Skills!$B$9,AU34)))),1,0))</f>
        <v/>
      </c>
      <c r="BC34" s="23">
        <f>IF(AR34="","",IF(OR(TRIM(AJ34&amp;"")&lt;&gt;"",AND(Skills!$B$10&lt;&gt;"",ISNUMBER(SEARCH(Skills!$B$10,AU34)))),1,0))</f>
        <v/>
      </c>
      <c r="BD34" s="23">
        <f>IF(AR34="","",IF(OR(TRIM(AK34&amp;"")&lt;&gt;"",AND(Skills!$B$11&lt;&gt;"",ISNUMBER(SEARCH(Skills!$B$11,AU34)))),1,0))</f>
        <v/>
      </c>
      <c r="BE34" s="23">
        <f>IF(AR34="","",IF(OR(TRIM(AL34&amp;"")&lt;&gt;"",AND(Skills!$B$12&lt;&gt;"",ISNUMBER(SEARCH(Skills!$B$12,AU34)))),1,0))</f>
        <v/>
      </c>
      <c r="BF34" s="23">
        <f>IF(AR34="","",IF(OR(TRIM(AM34&amp;"")&lt;&gt;"",AND(Skills!$B$13&lt;&gt;"",ISNUMBER(SEARCH(Skills!$B$13,AU34)))),1,0))</f>
        <v/>
      </c>
      <c r="BG34" s="23">
        <f>IF(AR34="","",IF(OR(TRIM(AN34&amp;"")&lt;&gt;"",AND(Skills!$B$14&lt;&gt;"",ISNUMBER(SEARCH(Skills!$B$14,AU34)))),1,0))</f>
        <v/>
      </c>
      <c r="BH34" s="23">
        <f>IF(AR34="","",IF(OR(TRIM(AO34&amp;"")&lt;&gt;"",AND(Skills!$B$15&lt;&gt;"",ISNUMBER(SEARCH(Skills!$B$15,AU34)))),1,0))</f>
        <v/>
      </c>
      <c r="BI34" s="23">
        <f>IF(AR34="","",IF(OR(TRIM(AP34&amp;"")&lt;&gt;"",AND(Skills!$B$16&lt;&gt;"",ISNUMBER(SEARCH(Skills!$B$16,AU34)))),1,0))</f>
        <v/>
      </c>
      <c r="BJ34" s="23">
        <f>IF(AR34="","",SUMPRODUCT($AX34:$BI34,Skills!$B$20:$M$20))</f>
        <v/>
      </c>
      <c r="BK34" s="23">
        <f>IF(AR34="","",BJ34*100000+(100000-ROW()))</f>
        <v/>
      </c>
      <c r="BL34" s="31">
        <f>IF(AR34="","",IF((IF(AND(AX34=1,Skills!$B$20=1),Skills!$B$5&amp;", ","")&amp;IF(AND(AY34=1,Skills!$C$20=1),Skills!$B$6&amp;", ","")&amp;IF(AND(AZ34=1,Skills!$D$20=1),Skills!$B$7&amp;", ","")&amp;IF(AND(BA34=1,Skills!$E$20=1),Skills!$B$8&amp;", ","")&amp;IF(AND(BB34=1,Skills!$F$20=1),Skills!$B$9&amp;", ","")&amp;IF(AND(BC34=1,Skills!$G$20=1),Skills!$B$10&amp;", ","")&amp;IF(AND(BD34=1,Skills!$H$20=1),Skills!$B$11&amp;", ","")&amp;IF(AND(BE34=1,Skills!$I$20=1),Skills!$B$12&amp;", ","")&amp;IF(AND(BF34=1,Skills!$J$20=1),Skills!$B$13&amp;", ","")&amp;IF(AND(BG34=1,Skills!$K$20=1),Skills!$B$14&amp;", ","")&amp;IF(AND(BH34=1,Skills!$L$20=1),Skills!$B$15&amp;", ","")&amp;IF(AND(BI34=1,Skills!$M$20=1),Skills!$B$16&amp;", ",""))="","",LEFT(IF(AND(AX34=1,Skills!$B$20=1),Skills!$B$5&amp;", ","")&amp;IF(AND(AY34=1,Skills!$C$20=1),Skills!$B$6&amp;", ","")&amp;IF(AND(AZ34=1,Skills!$D$20=1),Skills!$B$7&amp;", ","")&amp;IF(AND(BA34=1,Skills!$E$20=1),Skills!$B$8&amp;", ","")&amp;IF(AND(BB34=1,Skills!$F$20=1),Skills!$B$9&amp;", ","")&amp;IF(AND(BC34=1,Skills!$G$20=1),Skills!$B$10&amp;", ","")&amp;IF(AND(BD34=1,Skills!$H$20=1),Skills!$B$11&amp;", ","")&amp;IF(AND(BE34=1,Skills!$I$20=1),Skills!$B$12&amp;", ","")&amp;IF(AND(BF34=1,Skills!$J$20=1),Skills!$B$13&amp;", ","")&amp;IF(AND(BG34=1,Skills!$K$20=1),Skills!$B$14&amp;", ","")&amp;IF(AND(BH34=1,Skills!$L$20=1),Skills!$B$15&amp;", ","")&amp;IF(AND(BI34=1,Skills!$M$20=1),Skills!$B$16&amp;", ",""),LEN(IF(AND(AX34=1,Skills!$B$20=1),Skills!$B$5&amp;", ","")&amp;IF(AND(AY34=1,Skills!$C$20=1),Skills!$B$6&amp;", ","")&amp;IF(AND(AZ34=1,Skills!$D$20=1),Skills!$B$7&amp;", ","")&amp;IF(AND(BA34=1,Skills!$E$20=1),Skills!$B$8&amp;", ","")&amp;IF(AND(BB34=1,Skills!$F$20=1),Skills!$B$9&amp;", ","")&amp;IF(AND(BC34=1,Skills!$G$20=1),Skills!$B$10&amp;", ","")&amp;IF(AND(BD34=1,Skills!$H$20=1),Skills!$B$11&amp;", ","")&amp;IF(AND(BE34=1,Skills!$I$20=1),Skills!$B$12&amp;", ","")&amp;IF(AND(BF34=1,Skills!$J$20=1),Skills!$B$13&amp;", ","")&amp;IF(AND(BG34=1,Skills!$K$20=1),Skills!$B$14&amp;", ","")&amp;IF(AND(BH34=1,Skills!$L$20=1),Skills!$B$15&amp;", ","")&amp;IF(AND(BI34=1,Skills!$M$20=1),Skills!$B$16&amp;", ",""))-2)))</f>
        <v/>
      </c>
    </row>
    <row r="35">
      <c r="AD35" s="20" t="n"/>
      <c r="AE35" s="20" t="n"/>
      <c r="AF35" s="20" t="n"/>
      <c r="AG35" s="20" t="n"/>
      <c r="AH35" s="20" t="n"/>
      <c r="AI35" s="20" t="n"/>
      <c r="AJ35" s="20" t="n"/>
      <c r="AK35" s="20" t="n"/>
      <c r="AL35" s="20" t="n"/>
      <c r="AM35" s="20" t="n"/>
      <c r="AN35" s="20" t="n"/>
      <c r="AO35" s="20" t="n"/>
      <c r="AP35" s="20" t="n"/>
      <c r="AR35" s="31">
        <f>IF(IFERROR(TRIM(INDEX($A35:$AB35,MATCH(Lists!$B$5,$A$1:$AB$1,0))&amp;""),"")&lt;&gt;"",IFERROR(TRIM(INDEX($A35:$AB35,MATCH(Lists!$B$5,$A$1:$AB$1,0))&amp;""),""),IFERROR(TRIM(INDEX($A35:$AB35,MATCH(Lists!$B$3,$A$1:$AB$1,0))&amp;""),""))</f>
        <v/>
      </c>
      <c r="AS35" s="31">
        <f>IF(AR35="","",IF(IFERROR(TRIM(INDEX($A35:$AB35,MATCH(Lists!$B$5,$A$1:$AB$1,0))&amp;""),"")&lt;&gt;"","Nominated","Applied"))</f>
        <v/>
      </c>
      <c r="AT35" s="31">
        <f>IF(AR35="","",IF(IFERROR(TRIM(INDEX($A35:$AB35,MATCH(Lists!$B$5,$A$1:$AB$1,0))&amp;""),"")&lt;&gt;"",IFERROR(TRIM(INDEX($A35:$AB35,MATCH(Lists!$B$6,$A$1:$AB$1,0))&amp;""),""),IFERROR(TRIM(INDEX($A35:$AB35,MATCH(Lists!$B$4,$A$1:$AB$1,0))&amp;""),"")))</f>
        <v/>
      </c>
      <c r="AU35" s="31">
        <f>IF(AR35="","",IFERROR(TRIM(INDEX($A35:$AB35,MATCH(Lists!$B$7,$A$1:$AB$1,0))&amp;""),""))</f>
        <v/>
      </c>
      <c r="AV35" s="31">
        <f>IF(AR35="","",IFERROR(TRIM(INDEX($A35:$AB35,MATCH(Lists!$B$9,$A$1:$AB$1,0))&amp;""),""))</f>
        <v/>
      </c>
      <c r="AW35" s="31">
        <f>IF(AR35="","",IFERROR(TRIM(INDEX($A35:$AB35,MATCH(Lists!$B$8,$A$1:$AB$1,0))&amp;""),""))</f>
        <v/>
      </c>
      <c r="AX35" s="23">
        <f>IF(AR35="","",IF(OR(TRIM(AE35&amp;"")&lt;&gt;"",AND(Skills!$B$5&lt;&gt;"",ISNUMBER(SEARCH(Skills!$B$5,AU35)))),1,0))</f>
        <v/>
      </c>
      <c r="AY35" s="23">
        <f>IF(AR35="","",IF(OR(TRIM(AF35&amp;"")&lt;&gt;"",AND(Skills!$B$6&lt;&gt;"",ISNUMBER(SEARCH(Skills!$B$6,AU35)))),1,0))</f>
        <v/>
      </c>
      <c r="AZ35" s="23">
        <f>IF(AR35="","",IF(OR(TRIM(AG35&amp;"")&lt;&gt;"",AND(Skills!$B$7&lt;&gt;"",ISNUMBER(SEARCH(Skills!$B$7,AU35)))),1,0))</f>
        <v/>
      </c>
      <c r="BA35" s="23">
        <f>IF(AR35="","",IF(OR(TRIM(AH35&amp;"")&lt;&gt;"",AND(Skills!$B$8&lt;&gt;"",ISNUMBER(SEARCH(Skills!$B$8,AU35)))),1,0))</f>
        <v/>
      </c>
      <c r="BB35" s="23">
        <f>IF(AR35="","",IF(OR(TRIM(AI35&amp;"")&lt;&gt;"",AND(Skills!$B$9&lt;&gt;"",ISNUMBER(SEARCH(Skills!$B$9,AU35)))),1,0))</f>
        <v/>
      </c>
      <c r="BC35" s="23">
        <f>IF(AR35="","",IF(OR(TRIM(AJ35&amp;"")&lt;&gt;"",AND(Skills!$B$10&lt;&gt;"",ISNUMBER(SEARCH(Skills!$B$10,AU35)))),1,0))</f>
        <v/>
      </c>
      <c r="BD35" s="23">
        <f>IF(AR35="","",IF(OR(TRIM(AK35&amp;"")&lt;&gt;"",AND(Skills!$B$11&lt;&gt;"",ISNUMBER(SEARCH(Skills!$B$11,AU35)))),1,0))</f>
        <v/>
      </c>
      <c r="BE35" s="23">
        <f>IF(AR35="","",IF(OR(TRIM(AL35&amp;"")&lt;&gt;"",AND(Skills!$B$12&lt;&gt;"",ISNUMBER(SEARCH(Skills!$B$12,AU35)))),1,0))</f>
        <v/>
      </c>
      <c r="BF35" s="23">
        <f>IF(AR35="","",IF(OR(TRIM(AM35&amp;"")&lt;&gt;"",AND(Skills!$B$13&lt;&gt;"",ISNUMBER(SEARCH(Skills!$B$13,AU35)))),1,0))</f>
        <v/>
      </c>
      <c r="BG35" s="23">
        <f>IF(AR35="","",IF(OR(TRIM(AN35&amp;"")&lt;&gt;"",AND(Skills!$B$14&lt;&gt;"",ISNUMBER(SEARCH(Skills!$B$14,AU35)))),1,0))</f>
        <v/>
      </c>
      <c r="BH35" s="23">
        <f>IF(AR35="","",IF(OR(TRIM(AO35&amp;"")&lt;&gt;"",AND(Skills!$B$15&lt;&gt;"",ISNUMBER(SEARCH(Skills!$B$15,AU35)))),1,0))</f>
        <v/>
      </c>
      <c r="BI35" s="23">
        <f>IF(AR35="","",IF(OR(TRIM(AP35&amp;"")&lt;&gt;"",AND(Skills!$B$16&lt;&gt;"",ISNUMBER(SEARCH(Skills!$B$16,AU35)))),1,0))</f>
        <v/>
      </c>
      <c r="BJ35" s="23">
        <f>IF(AR35="","",SUMPRODUCT($AX35:$BI35,Skills!$B$20:$M$20))</f>
        <v/>
      </c>
      <c r="BK35" s="23">
        <f>IF(AR35="","",BJ35*100000+(100000-ROW()))</f>
        <v/>
      </c>
      <c r="BL35" s="31">
        <f>IF(AR35="","",IF((IF(AND(AX35=1,Skills!$B$20=1),Skills!$B$5&amp;", ","")&amp;IF(AND(AY35=1,Skills!$C$20=1),Skills!$B$6&amp;", ","")&amp;IF(AND(AZ35=1,Skills!$D$20=1),Skills!$B$7&amp;", ","")&amp;IF(AND(BA35=1,Skills!$E$20=1),Skills!$B$8&amp;", ","")&amp;IF(AND(BB35=1,Skills!$F$20=1),Skills!$B$9&amp;", ","")&amp;IF(AND(BC35=1,Skills!$G$20=1),Skills!$B$10&amp;", ","")&amp;IF(AND(BD35=1,Skills!$H$20=1),Skills!$B$11&amp;", ","")&amp;IF(AND(BE35=1,Skills!$I$20=1),Skills!$B$12&amp;", ","")&amp;IF(AND(BF35=1,Skills!$J$20=1),Skills!$B$13&amp;", ","")&amp;IF(AND(BG35=1,Skills!$K$20=1),Skills!$B$14&amp;", ","")&amp;IF(AND(BH35=1,Skills!$L$20=1),Skills!$B$15&amp;", ","")&amp;IF(AND(BI35=1,Skills!$M$20=1),Skills!$B$16&amp;", ",""))="","",LEFT(IF(AND(AX35=1,Skills!$B$20=1),Skills!$B$5&amp;", ","")&amp;IF(AND(AY35=1,Skills!$C$20=1),Skills!$B$6&amp;", ","")&amp;IF(AND(AZ35=1,Skills!$D$20=1),Skills!$B$7&amp;", ","")&amp;IF(AND(BA35=1,Skills!$E$20=1),Skills!$B$8&amp;", ","")&amp;IF(AND(BB35=1,Skills!$F$20=1),Skills!$B$9&amp;", ","")&amp;IF(AND(BC35=1,Skills!$G$20=1),Skills!$B$10&amp;", ","")&amp;IF(AND(BD35=1,Skills!$H$20=1),Skills!$B$11&amp;", ","")&amp;IF(AND(BE35=1,Skills!$I$20=1),Skills!$B$12&amp;", ","")&amp;IF(AND(BF35=1,Skills!$J$20=1),Skills!$B$13&amp;", ","")&amp;IF(AND(BG35=1,Skills!$K$20=1),Skills!$B$14&amp;", ","")&amp;IF(AND(BH35=1,Skills!$L$20=1),Skills!$B$15&amp;", ","")&amp;IF(AND(BI35=1,Skills!$M$20=1),Skills!$B$16&amp;", ",""),LEN(IF(AND(AX35=1,Skills!$B$20=1),Skills!$B$5&amp;", ","")&amp;IF(AND(AY35=1,Skills!$C$20=1),Skills!$B$6&amp;", ","")&amp;IF(AND(AZ35=1,Skills!$D$20=1),Skills!$B$7&amp;", ","")&amp;IF(AND(BA35=1,Skills!$E$20=1),Skills!$B$8&amp;", ","")&amp;IF(AND(BB35=1,Skills!$F$20=1),Skills!$B$9&amp;", ","")&amp;IF(AND(BC35=1,Skills!$G$20=1),Skills!$B$10&amp;", ","")&amp;IF(AND(BD35=1,Skills!$H$20=1),Skills!$B$11&amp;", ","")&amp;IF(AND(BE35=1,Skills!$I$20=1),Skills!$B$12&amp;", ","")&amp;IF(AND(BF35=1,Skills!$J$20=1),Skills!$B$13&amp;", ","")&amp;IF(AND(BG35=1,Skills!$K$20=1),Skills!$B$14&amp;", ","")&amp;IF(AND(BH35=1,Skills!$L$20=1),Skills!$B$15&amp;", ","")&amp;IF(AND(BI35=1,Skills!$M$20=1),Skills!$B$16&amp;", ",""))-2)))</f>
        <v/>
      </c>
    </row>
    <row r="36">
      <c r="AD36" s="20" t="n"/>
      <c r="AE36" s="20" t="n"/>
      <c r="AF36" s="20" t="n"/>
      <c r="AG36" s="20" t="n"/>
      <c r="AH36" s="20" t="n"/>
      <c r="AI36" s="20" t="n"/>
      <c r="AJ36" s="20" t="n"/>
      <c r="AK36" s="20" t="n"/>
      <c r="AL36" s="20" t="n"/>
      <c r="AM36" s="20" t="n"/>
      <c r="AN36" s="20" t="n"/>
      <c r="AO36" s="20" t="n"/>
      <c r="AP36" s="20" t="n"/>
      <c r="AR36" s="31">
        <f>IF(IFERROR(TRIM(INDEX($A36:$AB36,MATCH(Lists!$B$5,$A$1:$AB$1,0))&amp;""),"")&lt;&gt;"",IFERROR(TRIM(INDEX($A36:$AB36,MATCH(Lists!$B$5,$A$1:$AB$1,0))&amp;""),""),IFERROR(TRIM(INDEX($A36:$AB36,MATCH(Lists!$B$3,$A$1:$AB$1,0))&amp;""),""))</f>
        <v/>
      </c>
      <c r="AS36" s="31">
        <f>IF(AR36="","",IF(IFERROR(TRIM(INDEX($A36:$AB36,MATCH(Lists!$B$5,$A$1:$AB$1,0))&amp;""),"")&lt;&gt;"","Nominated","Applied"))</f>
        <v/>
      </c>
      <c r="AT36" s="31">
        <f>IF(AR36="","",IF(IFERROR(TRIM(INDEX($A36:$AB36,MATCH(Lists!$B$5,$A$1:$AB$1,0))&amp;""),"")&lt;&gt;"",IFERROR(TRIM(INDEX($A36:$AB36,MATCH(Lists!$B$6,$A$1:$AB$1,0))&amp;""),""),IFERROR(TRIM(INDEX($A36:$AB36,MATCH(Lists!$B$4,$A$1:$AB$1,0))&amp;""),"")))</f>
        <v/>
      </c>
      <c r="AU36" s="31">
        <f>IF(AR36="","",IFERROR(TRIM(INDEX($A36:$AB36,MATCH(Lists!$B$7,$A$1:$AB$1,0))&amp;""),""))</f>
        <v/>
      </c>
      <c r="AV36" s="31">
        <f>IF(AR36="","",IFERROR(TRIM(INDEX($A36:$AB36,MATCH(Lists!$B$9,$A$1:$AB$1,0))&amp;""),""))</f>
        <v/>
      </c>
      <c r="AW36" s="31">
        <f>IF(AR36="","",IFERROR(TRIM(INDEX($A36:$AB36,MATCH(Lists!$B$8,$A$1:$AB$1,0))&amp;""),""))</f>
        <v/>
      </c>
      <c r="AX36" s="23">
        <f>IF(AR36="","",IF(OR(TRIM(AE36&amp;"")&lt;&gt;"",AND(Skills!$B$5&lt;&gt;"",ISNUMBER(SEARCH(Skills!$B$5,AU36)))),1,0))</f>
        <v/>
      </c>
      <c r="AY36" s="23">
        <f>IF(AR36="","",IF(OR(TRIM(AF36&amp;"")&lt;&gt;"",AND(Skills!$B$6&lt;&gt;"",ISNUMBER(SEARCH(Skills!$B$6,AU36)))),1,0))</f>
        <v/>
      </c>
      <c r="AZ36" s="23">
        <f>IF(AR36="","",IF(OR(TRIM(AG36&amp;"")&lt;&gt;"",AND(Skills!$B$7&lt;&gt;"",ISNUMBER(SEARCH(Skills!$B$7,AU36)))),1,0))</f>
        <v/>
      </c>
      <c r="BA36" s="23">
        <f>IF(AR36="","",IF(OR(TRIM(AH36&amp;"")&lt;&gt;"",AND(Skills!$B$8&lt;&gt;"",ISNUMBER(SEARCH(Skills!$B$8,AU36)))),1,0))</f>
        <v/>
      </c>
      <c r="BB36" s="23">
        <f>IF(AR36="","",IF(OR(TRIM(AI36&amp;"")&lt;&gt;"",AND(Skills!$B$9&lt;&gt;"",ISNUMBER(SEARCH(Skills!$B$9,AU36)))),1,0))</f>
        <v/>
      </c>
      <c r="BC36" s="23">
        <f>IF(AR36="","",IF(OR(TRIM(AJ36&amp;"")&lt;&gt;"",AND(Skills!$B$10&lt;&gt;"",ISNUMBER(SEARCH(Skills!$B$10,AU36)))),1,0))</f>
        <v/>
      </c>
      <c r="BD36" s="23">
        <f>IF(AR36="","",IF(OR(TRIM(AK36&amp;"")&lt;&gt;"",AND(Skills!$B$11&lt;&gt;"",ISNUMBER(SEARCH(Skills!$B$11,AU36)))),1,0))</f>
        <v/>
      </c>
      <c r="BE36" s="23">
        <f>IF(AR36="","",IF(OR(TRIM(AL36&amp;"")&lt;&gt;"",AND(Skills!$B$12&lt;&gt;"",ISNUMBER(SEARCH(Skills!$B$12,AU36)))),1,0))</f>
        <v/>
      </c>
      <c r="BF36" s="23">
        <f>IF(AR36="","",IF(OR(TRIM(AM36&amp;"")&lt;&gt;"",AND(Skills!$B$13&lt;&gt;"",ISNUMBER(SEARCH(Skills!$B$13,AU36)))),1,0))</f>
        <v/>
      </c>
      <c r="BG36" s="23">
        <f>IF(AR36="","",IF(OR(TRIM(AN36&amp;"")&lt;&gt;"",AND(Skills!$B$14&lt;&gt;"",ISNUMBER(SEARCH(Skills!$B$14,AU36)))),1,0))</f>
        <v/>
      </c>
      <c r="BH36" s="23">
        <f>IF(AR36="","",IF(OR(TRIM(AO36&amp;"")&lt;&gt;"",AND(Skills!$B$15&lt;&gt;"",ISNUMBER(SEARCH(Skills!$B$15,AU36)))),1,0))</f>
        <v/>
      </c>
      <c r="BI36" s="23">
        <f>IF(AR36="","",IF(OR(TRIM(AP36&amp;"")&lt;&gt;"",AND(Skills!$B$16&lt;&gt;"",ISNUMBER(SEARCH(Skills!$B$16,AU36)))),1,0))</f>
        <v/>
      </c>
      <c r="BJ36" s="23">
        <f>IF(AR36="","",SUMPRODUCT($AX36:$BI36,Skills!$B$20:$M$20))</f>
        <v/>
      </c>
      <c r="BK36" s="23">
        <f>IF(AR36="","",BJ36*100000+(100000-ROW()))</f>
        <v/>
      </c>
      <c r="BL36" s="31">
        <f>IF(AR36="","",IF((IF(AND(AX36=1,Skills!$B$20=1),Skills!$B$5&amp;", ","")&amp;IF(AND(AY36=1,Skills!$C$20=1),Skills!$B$6&amp;", ","")&amp;IF(AND(AZ36=1,Skills!$D$20=1),Skills!$B$7&amp;", ","")&amp;IF(AND(BA36=1,Skills!$E$20=1),Skills!$B$8&amp;", ","")&amp;IF(AND(BB36=1,Skills!$F$20=1),Skills!$B$9&amp;", ","")&amp;IF(AND(BC36=1,Skills!$G$20=1),Skills!$B$10&amp;", ","")&amp;IF(AND(BD36=1,Skills!$H$20=1),Skills!$B$11&amp;", ","")&amp;IF(AND(BE36=1,Skills!$I$20=1),Skills!$B$12&amp;", ","")&amp;IF(AND(BF36=1,Skills!$J$20=1),Skills!$B$13&amp;", ","")&amp;IF(AND(BG36=1,Skills!$K$20=1),Skills!$B$14&amp;", ","")&amp;IF(AND(BH36=1,Skills!$L$20=1),Skills!$B$15&amp;", ","")&amp;IF(AND(BI36=1,Skills!$M$20=1),Skills!$B$16&amp;", ",""))="","",LEFT(IF(AND(AX36=1,Skills!$B$20=1),Skills!$B$5&amp;", ","")&amp;IF(AND(AY36=1,Skills!$C$20=1),Skills!$B$6&amp;", ","")&amp;IF(AND(AZ36=1,Skills!$D$20=1),Skills!$B$7&amp;", ","")&amp;IF(AND(BA36=1,Skills!$E$20=1),Skills!$B$8&amp;", ","")&amp;IF(AND(BB36=1,Skills!$F$20=1),Skills!$B$9&amp;", ","")&amp;IF(AND(BC36=1,Skills!$G$20=1),Skills!$B$10&amp;", ","")&amp;IF(AND(BD36=1,Skills!$H$20=1),Skills!$B$11&amp;", ","")&amp;IF(AND(BE36=1,Skills!$I$20=1),Skills!$B$12&amp;", ","")&amp;IF(AND(BF36=1,Skills!$J$20=1),Skills!$B$13&amp;", ","")&amp;IF(AND(BG36=1,Skills!$K$20=1),Skills!$B$14&amp;", ","")&amp;IF(AND(BH36=1,Skills!$L$20=1),Skills!$B$15&amp;", ","")&amp;IF(AND(BI36=1,Skills!$M$20=1),Skills!$B$16&amp;", ",""),LEN(IF(AND(AX36=1,Skills!$B$20=1),Skills!$B$5&amp;", ","")&amp;IF(AND(AY36=1,Skills!$C$20=1),Skills!$B$6&amp;", ","")&amp;IF(AND(AZ36=1,Skills!$D$20=1),Skills!$B$7&amp;", ","")&amp;IF(AND(BA36=1,Skills!$E$20=1),Skills!$B$8&amp;", ","")&amp;IF(AND(BB36=1,Skills!$F$20=1),Skills!$B$9&amp;", ","")&amp;IF(AND(BC36=1,Skills!$G$20=1),Skills!$B$10&amp;", ","")&amp;IF(AND(BD36=1,Skills!$H$20=1),Skills!$B$11&amp;", ","")&amp;IF(AND(BE36=1,Skills!$I$20=1),Skills!$B$12&amp;", ","")&amp;IF(AND(BF36=1,Skills!$J$20=1),Skills!$B$13&amp;", ","")&amp;IF(AND(BG36=1,Skills!$K$20=1),Skills!$B$14&amp;", ","")&amp;IF(AND(BH36=1,Skills!$L$20=1),Skills!$B$15&amp;", ","")&amp;IF(AND(BI36=1,Skills!$M$20=1),Skills!$B$16&amp;", ",""))-2)))</f>
        <v/>
      </c>
    </row>
    <row r="37">
      <c r="AD37" s="20" t="n"/>
      <c r="AE37" s="20" t="n"/>
      <c r="AF37" s="20" t="n"/>
      <c r="AG37" s="20" t="n"/>
      <c r="AH37" s="20" t="n"/>
      <c r="AI37" s="20" t="n"/>
      <c r="AJ37" s="20" t="n"/>
      <c r="AK37" s="20" t="n"/>
      <c r="AL37" s="20" t="n"/>
      <c r="AM37" s="20" t="n"/>
      <c r="AN37" s="20" t="n"/>
      <c r="AO37" s="20" t="n"/>
      <c r="AP37" s="20" t="n"/>
      <c r="AR37" s="31">
        <f>IF(IFERROR(TRIM(INDEX($A37:$AB37,MATCH(Lists!$B$5,$A$1:$AB$1,0))&amp;""),"")&lt;&gt;"",IFERROR(TRIM(INDEX($A37:$AB37,MATCH(Lists!$B$5,$A$1:$AB$1,0))&amp;""),""),IFERROR(TRIM(INDEX($A37:$AB37,MATCH(Lists!$B$3,$A$1:$AB$1,0))&amp;""),""))</f>
        <v/>
      </c>
      <c r="AS37" s="31">
        <f>IF(AR37="","",IF(IFERROR(TRIM(INDEX($A37:$AB37,MATCH(Lists!$B$5,$A$1:$AB$1,0))&amp;""),"")&lt;&gt;"","Nominated","Applied"))</f>
        <v/>
      </c>
      <c r="AT37" s="31">
        <f>IF(AR37="","",IF(IFERROR(TRIM(INDEX($A37:$AB37,MATCH(Lists!$B$5,$A$1:$AB$1,0))&amp;""),"")&lt;&gt;"",IFERROR(TRIM(INDEX($A37:$AB37,MATCH(Lists!$B$6,$A$1:$AB$1,0))&amp;""),""),IFERROR(TRIM(INDEX($A37:$AB37,MATCH(Lists!$B$4,$A$1:$AB$1,0))&amp;""),"")))</f>
        <v/>
      </c>
      <c r="AU37" s="31">
        <f>IF(AR37="","",IFERROR(TRIM(INDEX($A37:$AB37,MATCH(Lists!$B$7,$A$1:$AB$1,0))&amp;""),""))</f>
        <v/>
      </c>
      <c r="AV37" s="31">
        <f>IF(AR37="","",IFERROR(TRIM(INDEX($A37:$AB37,MATCH(Lists!$B$9,$A$1:$AB$1,0))&amp;""),""))</f>
        <v/>
      </c>
      <c r="AW37" s="31">
        <f>IF(AR37="","",IFERROR(TRIM(INDEX($A37:$AB37,MATCH(Lists!$B$8,$A$1:$AB$1,0))&amp;""),""))</f>
        <v/>
      </c>
      <c r="AX37" s="23">
        <f>IF(AR37="","",IF(OR(TRIM(AE37&amp;"")&lt;&gt;"",AND(Skills!$B$5&lt;&gt;"",ISNUMBER(SEARCH(Skills!$B$5,AU37)))),1,0))</f>
        <v/>
      </c>
      <c r="AY37" s="23">
        <f>IF(AR37="","",IF(OR(TRIM(AF37&amp;"")&lt;&gt;"",AND(Skills!$B$6&lt;&gt;"",ISNUMBER(SEARCH(Skills!$B$6,AU37)))),1,0))</f>
        <v/>
      </c>
      <c r="AZ37" s="23">
        <f>IF(AR37="","",IF(OR(TRIM(AG37&amp;"")&lt;&gt;"",AND(Skills!$B$7&lt;&gt;"",ISNUMBER(SEARCH(Skills!$B$7,AU37)))),1,0))</f>
        <v/>
      </c>
      <c r="BA37" s="23">
        <f>IF(AR37="","",IF(OR(TRIM(AH37&amp;"")&lt;&gt;"",AND(Skills!$B$8&lt;&gt;"",ISNUMBER(SEARCH(Skills!$B$8,AU37)))),1,0))</f>
        <v/>
      </c>
      <c r="BB37" s="23">
        <f>IF(AR37="","",IF(OR(TRIM(AI37&amp;"")&lt;&gt;"",AND(Skills!$B$9&lt;&gt;"",ISNUMBER(SEARCH(Skills!$B$9,AU37)))),1,0))</f>
        <v/>
      </c>
      <c r="BC37" s="23">
        <f>IF(AR37="","",IF(OR(TRIM(AJ37&amp;"")&lt;&gt;"",AND(Skills!$B$10&lt;&gt;"",ISNUMBER(SEARCH(Skills!$B$10,AU37)))),1,0))</f>
        <v/>
      </c>
      <c r="BD37" s="23">
        <f>IF(AR37="","",IF(OR(TRIM(AK37&amp;"")&lt;&gt;"",AND(Skills!$B$11&lt;&gt;"",ISNUMBER(SEARCH(Skills!$B$11,AU37)))),1,0))</f>
        <v/>
      </c>
      <c r="BE37" s="23">
        <f>IF(AR37="","",IF(OR(TRIM(AL37&amp;"")&lt;&gt;"",AND(Skills!$B$12&lt;&gt;"",ISNUMBER(SEARCH(Skills!$B$12,AU37)))),1,0))</f>
        <v/>
      </c>
      <c r="BF37" s="23">
        <f>IF(AR37="","",IF(OR(TRIM(AM37&amp;"")&lt;&gt;"",AND(Skills!$B$13&lt;&gt;"",ISNUMBER(SEARCH(Skills!$B$13,AU37)))),1,0))</f>
        <v/>
      </c>
      <c r="BG37" s="23">
        <f>IF(AR37="","",IF(OR(TRIM(AN37&amp;"")&lt;&gt;"",AND(Skills!$B$14&lt;&gt;"",ISNUMBER(SEARCH(Skills!$B$14,AU37)))),1,0))</f>
        <v/>
      </c>
      <c r="BH37" s="23">
        <f>IF(AR37="","",IF(OR(TRIM(AO37&amp;"")&lt;&gt;"",AND(Skills!$B$15&lt;&gt;"",ISNUMBER(SEARCH(Skills!$B$15,AU37)))),1,0))</f>
        <v/>
      </c>
      <c r="BI37" s="23">
        <f>IF(AR37="","",IF(OR(TRIM(AP37&amp;"")&lt;&gt;"",AND(Skills!$B$16&lt;&gt;"",ISNUMBER(SEARCH(Skills!$B$16,AU37)))),1,0))</f>
        <v/>
      </c>
      <c r="BJ37" s="23">
        <f>IF(AR37="","",SUMPRODUCT($AX37:$BI37,Skills!$B$20:$M$20))</f>
        <v/>
      </c>
      <c r="BK37" s="23">
        <f>IF(AR37="","",BJ37*100000+(100000-ROW()))</f>
        <v/>
      </c>
      <c r="BL37" s="31">
        <f>IF(AR37="","",IF((IF(AND(AX37=1,Skills!$B$20=1),Skills!$B$5&amp;", ","")&amp;IF(AND(AY37=1,Skills!$C$20=1),Skills!$B$6&amp;", ","")&amp;IF(AND(AZ37=1,Skills!$D$20=1),Skills!$B$7&amp;", ","")&amp;IF(AND(BA37=1,Skills!$E$20=1),Skills!$B$8&amp;", ","")&amp;IF(AND(BB37=1,Skills!$F$20=1),Skills!$B$9&amp;", ","")&amp;IF(AND(BC37=1,Skills!$G$20=1),Skills!$B$10&amp;", ","")&amp;IF(AND(BD37=1,Skills!$H$20=1),Skills!$B$11&amp;", ","")&amp;IF(AND(BE37=1,Skills!$I$20=1),Skills!$B$12&amp;", ","")&amp;IF(AND(BF37=1,Skills!$J$20=1),Skills!$B$13&amp;", ","")&amp;IF(AND(BG37=1,Skills!$K$20=1),Skills!$B$14&amp;", ","")&amp;IF(AND(BH37=1,Skills!$L$20=1),Skills!$B$15&amp;", ","")&amp;IF(AND(BI37=1,Skills!$M$20=1),Skills!$B$16&amp;", ",""))="","",LEFT(IF(AND(AX37=1,Skills!$B$20=1),Skills!$B$5&amp;", ","")&amp;IF(AND(AY37=1,Skills!$C$20=1),Skills!$B$6&amp;", ","")&amp;IF(AND(AZ37=1,Skills!$D$20=1),Skills!$B$7&amp;", ","")&amp;IF(AND(BA37=1,Skills!$E$20=1),Skills!$B$8&amp;", ","")&amp;IF(AND(BB37=1,Skills!$F$20=1),Skills!$B$9&amp;", ","")&amp;IF(AND(BC37=1,Skills!$G$20=1),Skills!$B$10&amp;", ","")&amp;IF(AND(BD37=1,Skills!$H$20=1),Skills!$B$11&amp;", ","")&amp;IF(AND(BE37=1,Skills!$I$20=1),Skills!$B$12&amp;", ","")&amp;IF(AND(BF37=1,Skills!$J$20=1),Skills!$B$13&amp;", ","")&amp;IF(AND(BG37=1,Skills!$K$20=1),Skills!$B$14&amp;", ","")&amp;IF(AND(BH37=1,Skills!$L$20=1),Skills!$B$15&amp;", ","")&amp;IF(AND(BI37=1,Skills!$M$20=1),Skills!$B$16&amp;", ",""),LEN(IF(AND(AX37=1,Skills!$B$20=1),Skills!$B$5&amp;", ","")&amp;IF(AND(AY37=1,Skills!$C$20=1),Skills!$B$6&amp;", ","")&amp;IF(AND(AZ37=1,Skills!$D$20=1),Skills!$B$7&amp;", ","")&amp;IF(AND(BA37=1,Skills!$E$20=1),Skills!$B$8&amp;", ","")&amp;IF(AND(BB37=1,Skills!$F$20=1),Skills!$B$9&amp;", ","")&amp;IF(AND(BC37=1,Skills!$G$20=1),Skills!$B$10&amp;", ","")&amp;IF(AND(BD37=1,Skills!$H$20=1),Skills!$B$11&amp;", ","")&amp;IF(AND(BE37=1,Skills!$I$20=1),Skills!$B$12&amp;", ","")&amp;IF(AND(BF37=1,Skills!$J$20=1),Skills!$B$13&amp;", ","")&amp;IF(AND(BG37=1,Skills!$K$20=1),Skills!$B$14&amp;", ","")&amp;IF(AND(BH37=1,Skills!$L$20=1),Skills!$B$15&amp;", ","")&amp;IF(AND(BI37=1,Skills!$M$20=1),Skills!$B$16&amp;", ",""))-2)))</f>
        <v/>
      </c>
    </row>
    <row r="38">
      <c r="AD38" s="20" t="n"/>
      <c r="AE38" s="20" t="n"/>
      <c r="AF38" s="20" t="n"/>
      <c r="AG38" s="20" t="n"/>
      <c r="AH38" s="20" t="n"/>
      <c r="AI38" s="20" t="n"/>
      <c r="AJ38" s="20" t="n"/>
      <c r="AK38" s="20" t="n"/>
      <c r="AL38" s="20" t="n"/>
      <c r="AM38" s="20" t="n"/>
      <c r="AN38" s="20" t="n"/>
      <c r="AO38" s="20" t="n"/>
      <c r="AP38" s="20" t="n"/>
      <c r="AR38" s="31">
        <f>IF(IFERROR(TRIM(INDEX($A38:$AB38,MATCH(Lists!$B$5,$A$1:$AB$1,0))&amp;""),"")&lt;&gt;"",IFERROR(TRIM(INDEX($A38:$AB38,MATCH(Lists!$B$5,$A$1:$AB$1,0))&amp;""),""),IFERROR(TRIM(INDEX($A38:$AB38,MATCH(Lists!$B$3,$A$1:$AB$1,0))&amp;""),""))</f>
        <v/>
      </c>
      <c r="AS38" s="31">
        <f>IF(AR38="","",IF(IFERROR(TRIM(INDEX($A38:$AB38,MATCH(Lists!$B$5,$A$1:$AB$1,0))&amp;""),"")&lt;&gt;"","Nominated","Applied"))</f>
        <v/>
      </c>
      <c r="AT38" s="31">
        <f>IF(AR38="","",IF(IFERROR(TRIM(INDEX($A38:$AB38,MATCH(Lists!$B$5,$A$1:$AB$1,0))&amp;""),"")&lt;&gt;"",IFERROR(TRIM(INDEX($A38:$AB38,MATCH(Lists!$B$6,$A$1:$AB$1,0))&amp;""),""),IFERROR(TRIM(INDEX($A38:$AB38,MATCH(Lists!$B$4,$A$1:$AB$1,0))&amp;""),"")))</f>
        <v/>
      </c>
      <c r="AU38" s="31">
        <f>IF(AR38="","",IFERROR(TRIM(INDEX($A38:$AB38,MATCH(Lists!$B$7,$A$1:$AB$1,0))&amp;""),""))</f>
        <v/>
      </c>
      <c r="AV38" s="31">
        <f>IF(AR38="","",IFERROR(TRIM(INDEX($A38:$AB38,MATCH(Lists!$B$9,$A$1:$AB$1,0))&amp;""),""))</f>
        <v/>
      </c>
      <c r="AW38" s="31">
        <f>IF(AR38="","",IFERROR(TRIM(INDEX($A38:$AB38,MATCH(Lists!$B$8,$A$1:$AB$1,0))&amp;""),""))</f>
        <v/>
      </c>
      <c r="AX38" s="23">
        <f>IF(AR38="","",IF(OR(TRIM(AE38&amp;"")&lt;&gt;"",AND(Skills!$B$5&lt;&gt;"",ISNUMBER(SEARCH(Skills!$B$5,AU38)))),1,0))</f>
        <v/>
      </c>
      <c r="AY38" s="23">
        <f>IF(AR38="","",IF(OR(TRIM(AF38&amp;"")&lt;&gt;"",AND(Skills!$B$6&lt;&gt;"",ISNUMBER(SEARCH(Skills!$B$6,AU38)))),1,0))</f>
        <v/>
      </c>
      <c r="AZ38" s="23">
        <f>IF(AR38="","",IF(OR(TRIM(AG38&amp;"")&lt;&gt;"",AND(Skills!$B$7&lt;&gt;"",ISNUMBER(SEARCH(Skills!$B$7,AU38)))),1,0))</f>
        <v/>
      </c>
      <c r="BA38" s="23">
        <f>IF(AR38="","",IF(OR(TRIM(AH38&amp;"")&lt;&gt;"",AND(Skills!$B$8&lt;&gt;"",ISNUMBER(SEARCH(Skills!$B$8,AU38)))),1,0))</f>
        <v/>
      </c>
      <c r="BB38" s="23">
        <f>IF(AR38="","",IF(OR(TRIM(AI38&amp;"")&lt;&gt;"",AND(Skills!$B$9&lt;&gt;"",ISNUMBER(SEARCH(Skills!$B$9,AU38)))),1,0))</f>
        <v/>
      </c>
      <c r="BC38" s="23">
        <f>IF(AR38="","",IF(OR(TRIM(AJ38&amp;"")&lt;&gt;"",AND(Skills!$B$10&lt;&gt;"",ISNUMBER(SEARCH(Skills!$B$10,AU38)))),1,0))</f>
        <v/>
      </c>
      <c r="BD38" s="23">
        <f>IF(AR38="","",IF(OR(TRIM(AK38&amp;"")&lt;&gt;"",AND(Skills!$B$11&lt;&gt;"",ISNUMBER(SEARCH(Skills!$B$11,AU38)))),1,0))</f>
        <v/>
      </c>
      <c r="BE38" s="23">
        <f>IF(AR38="","",IF(OR(TRIM(AL38&amp;"")&lt;&gt;"",AND(Skills!$B$12&lt;&gt;"",ISNUMBER(SEARCH(Skills!$B$12,AU38)))),1,0))</f>
        <v/>
      </c>
      <c r="BF38" s="23">
        <f>IF(AR38="","",IF(OR(TRIM(AM38&amp;"")&lt;&gt;"",AND(Skills!$B$13&lt;&gt;"",ISNUMBER(SEARCH(Skills!$B$13,AU38)))),1,0))</f>
        <v/>
      </c>
      <c r="BG38" s="23">
        <f>IF(AR38="","",IF(OR(TRIM(AN38&amp;"")&lt;&gt;"",AND(Skills!$B$14&lt;&gt;"",ISNUMBER(SEARCH(Skills!$B$14,AU38)))),1,0))</f>
        <v/>
      </c>
      <c r="BH38" s="23">
        <f>IF(AR38="","",IF(OR(TRIM(AO38&amp;"")&lt;&gt;"",AND(Skills!$B$15&lt;&gt;"",ISNUMBER(SEARCH(Skills!$B$15,AU38)))),1,0))</f>
        <v/>
      </c>
      <c r="BI38" s="23">
        <f>IF(AR38="","",IF(OR(TRIM(AP38&amp;"")&lt;&gt;"",AND(Skills!$B$16&lt;&gt;"",ISNUMBER(SEARCH(Skills!$B$16,AU38)))),1,0))</f>
        <v/>
      </c>
      <c r="BJ38" s="23">
        <f>IF(AR38="","",SUMPRODUCT($AX38:$BI38,Skills!$B$20:$M$20))</f>
        <v/>
      </c>
      <c r="BK38" s="23">
        <f>IF(AR38="","",BJ38*100000+(100000-ROW()))</f>
        <v/>
      </c>
      <c r="BL38" s="31">
        <f>IF(AR38="","",IF((IF(AND(AX38=1,Skills!$B$20=1),Skills!$B$5&amp;", ","")&amp;IF(AND(AY38=1,Skills!$C$20=1),Skills!$B$6&amp;", ","")&amp;IF(AND(AZ38=1,Skills!$D$20=1),Skills!$B$7&amp;", ","")&amp;IF(AND(BA38=1,Skills!$E$20=1),Skills!$B$8&amp;", ","")&amp;IF(AND(BB38=1,Skills!$F$20=1),Skills!$B$9&amp;", ","")&amp;IF(AND(BC38=1,Skills!$G$20=1),Skills!$B$10&amp;", ","")&amp;IF(AND(BD38=1,Skills!$H$20=1),Skills!$B$11&amp;", ","")&amp;IF(AND(BE38=1,Skills!$I$20=1),Skills!$B$12&amp;", ","")&amp;IF(AND(BF38=1,Skills!$J$20=1),Skills!$B$13&amp;", ","")&amp;IF(AND(BG38=1,Skills!$K$20=1),Skills!$B$14&amp;", ","")&amp;IF(AND(BH38=1,Skills!$L$20=1),Skills!$B$15&amp;", ","")&amp;IF(AND(BI38=1,Skills!$M$20=1),Skills!$B$16&amp;", ",""))="","",LEFT(IF(AND(AX38=1,Skills!$B$20=1),Skills!$B$5&amp;", ","")&amp;IF(AND(AY38=1,Skills!$C$20=1),Skills!$B$6&amp;", ","")&amp;IF(AND(AZ38=1,Skills!$D$20=1),Skills!$B$7&amp;", ","")&amp;IF(AND(BA38=1,Skills!$E$20=1),Skills!$B$8&amp;", ","")&amp;IF(AND(BB38=1,Skills!$F$20=1),Skills!$B$9&amp;", ","")&amp;IF(AND(BC38=1,Skills!$G$20=1),Skills!$B$10&amp;", ","")&amp;IF(AND(BD38=1,Skills!$H$20=1),Skills!$B$11&amp;", ","")&amp;IF(AND(BE38=1,Skills!$I$20=1),Skills!$B$12&amp;", ","")&amp;IF(AND(BF38=1,Skills!$J$20=1),Skills!$B$13&amp;", ","")&amp;IF(AND(BG38=1,Skills!$K$20=1),Skills!$B$14&amp;", ","")&amp;IF(AND(BH38=1,Skills!$L$20=1),Skills!$B$15&amp;", ","")&amp;IF(AND(BI38=1,Skills!$M$20=1),Skills!$B$16&amp;", ",""),LEN(IF(AND(AX38=1,Skills!$B$20=1),Skills!$B$5&amp;", ","")&amp;IF(AND(AY38=1,Skills!$C$20=1),Skills!$B$6&amp;", ","")&amp;IF(AND(AZ38=1,Skills!$D$20=1),Skills!$B$7&amp;", ","")&amp;IF(AND(BA38=1,Skills!$E$20=1),Skills!$B$8&amp;", ","")&amp;IF(AND(BB38=1,Skills!$F$20=1),Skills!$B$9&amp;", ","")&amp;IF(AND(BC38=1,Skills!$G$20=1),Skills!$B$10&amp;", ","")&amp;IF(AND(BD38=1,Skills!$H$20=1),Skills!$B$11&amp;", ","")&amp;IF(AND(BE38=1,Skills!$I$20=1),Skills!$B$12&amp;", ","")&amp;IF(AND(BF38=1,Skills!$J$20=1),Skills!$B$13&amp;", ","")&amp;IF(AND(BG38=1,Skills!$K$20=1),Skills!$B$14&amp;", ","")&amp;IF(AND(BH38=1,Skills!$L$20=1),Skills!$B$15&amp;", ","")&amp;IF(AND(BI38=1,Skills!$M$20=1),Skills!$B$16&amp;", ",""))-2)))</f>
        <v/>
      </c>
    </row>
    <row r="39">
      <c r="AD39" s="20" t="n"/>
      <c r="AE39" s="20" t="n"/>
      <c r="AF39" s="20" t="n"/>
      <c r="AG39" s="20" t="n"/>
      <c r="AH39" s="20" t="n"/>
      <c r="AI39" s="20" t="n"/>
      <c r="AJ39" s="20" t="n"/>
      <c r="AK39" s="20" t="n"/>
      <c r="AL39" s="20" t="n"/>
      <c r="AM39" s="20" t="n"/>
      <c r="AN39" s="20" t="n"/>
      <c r="AO39" s="20" t="n"/>
      <c r="AP39" s="20" t="n"/>
      <c r="AR39" s="31">
        <f>IF(IFERROR(TRIM(INDEX($A39:$AB39,MATCH(Lists!$B$5,$A$1:$AB$1,0))&amp;""),"")&lt;&gt;"",IFERROR(TRIM(INDEX($A39:$AB39,MATCH(Lists!$B$5,$A$1:$AB$1,0))&amp;""),""),IFERROR(TRIM(INDEX($A39:$AB39,MATCH(Lists!$B$3,$A$1:$AB$1,0))&amp;""),""))</f>
        <v/>
      </c>
      <c r="AS39" s="31">
        <f>IF(AR39="","",IF(IFERROR(TRIM(INDEX($A39:$AB39,MATCH(Lists!$B$5,$A$1:$AB$1,0))&amp;""),"")&lt;&gt;"","Nominated","Applied"))</f>
        <v/>
      </c>
      <c r="AT39" s="31">
        <f>IF(AR39="","",IF(IFERROR(TRIM(INDEX($A39:$AB39,MATCH(Lists!$B$5,$A$1:$AB$1,0))&amp;""),"")&lt;&gt;"",IFERROR(TRIM(INDEX($A39:$AB39,MATCH(Lists!$B$6,$A$1:$AB$1,0))&amp;""),""),IFERROR(TRIM(INDEX($A39:$AB39,MATCH(Lists!$B$4,$A$1:$AB$1,0))&amp;""),"")))</f>
        <v/>
      </c>
      <c r="AU39" s="31">
        <f>IF(AR39="","",IFERROR(TRIM(INDEX($A39:$AB39,MATCH(Lists!$B$7,$A$1:$AB$1,0))&amp;""),""))</f>
        <v/>
      </c>
      <c r="AV39" s="31">
        <f>IF(AR39="","",IFERROR(TRIM(INDEX($A39:$AB39,MATCH(Lists!$B$9,$A$1:$AB$1,0))&amp;""),""))</f>
        <v/>
      </c>
      <c r="AW39" s="31">
        <f>IF(AR39="","",IFERROR(TRIM(INDEX($A39:$AB39,MATCH(Lists!$B$8,$A$1:$AB$1,0))&amp;""),""))</f>
        <v/>
      </c>
      <c r="AX39" s="23">
        <f>IF(AR39="","",IF(OR(TRIM(AE39&amp;"")&lt;&gt;"",AND(Skills!$B$5&lt;&gt;"",ISNUMBER(SEARCH(Skills!$B$5,AU39)))),1,0))</f>
        <v/>
      </c>
      <c r="AY39" s="23">
        <f>IF(AR39="","",IF(OR(TRIM(AF39&amp;"")&lt;&gt;"",AND(Skills!$B$6&lt;&gt;"",ISNUMBER(SEARCH(Skills!$B$6,AU39)))),1,0))</f>
        <v/>
      </c>
      <c r="AZ39" s="23">
        <f>IF(AR39="","",IF(OR(TRIM(AG39&amp;"")&lt;&gt;"",AND(Skills!$B$7&lt;&gt;"",ISNUMBER(SEARCH(Skills!$B$7,AU39)))),1,0))</f>
        <v/>
      </c>
      <c r="BA39" s="23">
        <f>IF(AR39="","",IF(OR(TRIM(AH39&amp;"")&lt;&gt;"",AND(Skills!$B$8&lt;&gt;"",ISNUMBER(SEARCH(Skills!$B$8,AU39)))),1,0))</f>
        <v/>
      </c>
      <c r="BB39" s="23">
        <f>IF(AR39="","",IF(OR(TRIM(AI39&amp;"")&lt;&gt;"",AND(Skills!$B$9&lt;&gt;"",ISNUMBER(SEARCH(Skills!$B$9,AU39)))),1,0))</f>
        <v/>
      </c>
      <c r="BC39" s="23">
        <f>IF(AR39="","",IF(OR(TRIM(AJ39&amp;"")&lt;&gt;"",AND(Skills!$B$10&lt;&gt;"",ISNUMBER(SEARCH(Skills!$B$10,AU39)))),1,0))</f>
        <v/>
      </c>
      <c r="BD39" s="23">
        <f>IF(AR39="","",IF(OR(TRIM(AK39&amp;"")&lt;&gt;"",AND(Skills!$B$11&lt;&gt;"",ISNUMBER(SEARCH(Skills!$B$11,AU39)))),1,0))</f>
        <v/>
      </c>
      <c r="BE39" s="23">
        <f>IF(AR39="","",IF(OR(TRIM(AL39&amp;"")&lt;&gt;"",AND(Skills!$B$12&lt;&gt;"",ISNUMBER(SEARCH(Skills!$B$12,AU39)))),1,0))</f>
        <v/>
      </c>
      <c r="BF39" s="23">
        <f>IF(AR39="","",IF(OR(TRIM(AM39&amp;"")&lt;&gt;"",AND(Skills!$B$13&lt;&gt;"",ISNUMBER(SEARCH(Skills!$B$13,AU39)))),1,0))</f>
        <v/>
      </c>
      <c r="BG39" s="23">
        <f>IF(AR39="","",IF(OR(TRIM(AN39&amp;"")&lt;&gt;"",AND(Skills!$B$14&lt;&gt;"",ISNUMBER(SEARCH(Skills!$B$14,AU39)))),1,0))</f>
        <v/>
      </c>
      <c r="BH39" s="23">
        <f>IF(AR39="","",IF(OR(TRIM(AO39&amp;"")&lt;&gt;"",AND(Skills!$B$15&lt;&gt;"",ISNUMBER(SEARCH(Skills!$B$15,AU39)))),1,0))</f>
        <v/>
      </c>
      <c r="BI39" s="23">
        <f>IF(AR39="","",IF(OR(TRIM(AP39&amp;"")&lt;&gt;"",AND(Skills!$B$16&lt;&gt;"",ISNUMBER(SEARCH(Skills!$B$16,AU39)))),1,0))</f>
        <v/>
      </c>
      <c r="BJ39" s="23">
        <f>IF(AR39="","",SUMPRODUCT($AX39:$BI39,Skills!$B$20:$M$20))</f>
        <v/>
      </c>
      <c r="BK39" s="23">
        <f>IF(AR39="","",BJ39*100000+(100000-ROW()))</f>
        <v/>
      </c>
      <c r="BL39" s="31">
        <f>IF(AR39="","",IF((IF(AND(AX39=1,Skills!$B$20=1),Skills!$B$5&amp;", ","")&amp;IF(AND(AY39=1,Skills!$C$20=1),Skills!$B$6&amp;", ","")&amp;IF(AND(AZ39=1,Skills!$D$20=1),Skills!$B$7&amp;", ","")&amp;IF(AND(BA39=1,Skills!$E$20=1),Skills!$B$8&amp;", ","")&amp;IF(AND(BB39=1,Skills!$F$20=1),Skills!$B$9&amp;", ","")&amp;IF(AND(BC39=1,Skills!$G$20=1),Skills!$B$10&amp;", ","")&amp;IF(AND(BD39=1,Skills!$H$20=1),Skills!$B$11&amp;", ","")&amp;IF(AND(BE39=1,Skills!$I$20=1),Skills!$B$12&amp;", ","")&amp;IF(AND(BF39=1,Skills!$J$20=1),Skills!$B$13&amp;", ","")&amp;IF(AND(BG39=1,Skills!$K$20=1),Skills!$B$14&amp;", ","")&amp;IF(AND(BH39=1,Skills!$L$20=1),Skills!$B$15&amp;", ","")&amp;IF(AND(BI39=1,Skills!$M$20=1),Skills!$B$16&amp;", ",""))="","",LEFT(IF(AND(AX39=1,Skills!$B$20=1),Skills!$B$5&amp;", ","")&amp;IF(AND(AY39=1,Skills!$C$20=1),Skills!$B$6&amp;", ","")&amp;IF(AND(AZ39=1,Skills!$D$20=1),Skills!$B$7&amp;", ","")&amp;IF(AND(BA39=1,Skills!$E$20=1),Skills!$B$8&amp;", ","")&amp;IF(AND(BB39=1,Skills!$F$20=1),Skills!$B$9&amp;", ","")&amp;IF(AND(BC39=1,Skills!$G$20=1),Skills!$B$10&amp;", ","")&amp;IF(AND(BD39=1,Skills!$H$20=1),Skills!$B$11&amp;", ","")&amp;IF(AND(BE39=1,Skills!$I$20=1),Skills!$B$12&amp;", ","")&amp;IF(AND(BF39=1,Skills!$J$20=1),Skills!$B$13&amp;", ","")&amp;IF(AND(BG39=1,Skills!$K$20=1),Skills!$B$14&amp;", ","")&amp;IF(AND(BH39=1,Skills!$L$20=1),Skills!$B$15&amp;", ","")&amp;IF(AND(BI39=1,Skills!$M$20=1),Skills!$B$16&amp;", ",""),LEN(IF(AND(AX39=1,Skills!$B$20=1),Skills!$B$5&amp;", ","")&amp;IF(AND(AY39=1,Skills!$C$20=1),Skills!$B$6&amp;", ","")&amp;IF(AND(AZ39=1,Skills!$D$20=1),Skills!$B$7&amp;", ","")&amp;IF(AND(BA39=1,Skills!$E$20=1),Skills!$B$8&amp;", ","")&amp;IF(AND(BB39=1,Skills!$F$20=1),Skills!$B$9&amp;", ","")&amp;IF(AND(BC39=1,Skills!$G$20=1),Skills!$B$10&amp;", ","")&amp;IF(AND(BD39=1,Skills!$H$20=1),Skills!$B$11&amp;", ","")&amp;IF(AND(BE39=1,Skills!$I$20=1),Skills!$B$12&amp;", ","")&amp;IF(AND(BF39=1,Skills!$J$20=1),Skills!$B$13&amp;", ","")&amp;IF(AND(BG39=1,Skills!$K$20=1),Skills!$B$14&amp;", ","")&amp;IF(AND(BH39=1,Skills!$L$20=1),Skills!$B$15&amp;", ","")&amp;IF(AND(BI39=1,Skills!$M$20=1),Skills!$B$16&amp;", ",""))-2)))</f>
        <v/>
      </c>
    </row>
    <row r="40">
      <c r="AD40" s="20" t="n"/>
      <c r="AE40" s="20" t="n"/>
      <c r="AF40" s="20" t="n"/>
      <c r="AG40" s="20" t="n"/>
      <c r="AH40" s="20" t="n"/>
      <c r="AI40" s="20" t="n"/>
      <c r="AJ40" s="20" t="n"/>
      <c r="AK40" s="20" t="n"/>
      <c r="AL40" s="20" t="n"/>
      <c r="AM40" s="20" t="n"/>
      <c r="AN40" s="20" t="n"/>
      <c r="AO40" s="20" t="n"/>
      <c r="AP40" s="20" t="n"/>
      <c r="AR40" s="31">
        <f>IF(IFERROR(TRIM(INDEX($A40:$AB40,MATCH(Lists!$B$5,$A$1:$AB$1,0))&amp;""),"")&lt;&gt;"",IFERROR(TRIM(INDEX($A40:$AB40,MATCH(Lists!$B$5,$A$1:$AB$1,0))&amp;""),""),IFERROR(TRIM(INDEX($A40:$AB40,MATCH(Lists!$B$3,$A$1:$AB$1,0))&amp;""),""))</f>
        <v/>
      </c>
      <c r="AS40" s="31">
        <f>IF(AR40="","",IF(IFERROR(TRIM(INDEX($A40:$AB40,MATCH(Lists!$B$5,$A$1:$AB$1,0))&amp;""),"")&lt;&gt;"","Nominated","Applied"))</f>
        <v/>
      </c>
      <c r="AT40" s="31">
        <f>IF(AR40="","",IF(IFERROR(TRIM(INDEX($A40:$AB40,MATCH(Lists!$B$5,$A$1:$AB$1,0))&amp;""),"")&lt;&gt;"",IFERROR(TRIM(INDEX($A40:$AB40,MATCH(Lists!$B$6,$A$1:$AB$1,0))&amp;""),""),IFERROR(TRIM(INDEX($A40:$AB40,MATCH(Lists!$B$4,$A$1:$AB$1,0))&amp;""),"")))</f>
        <v/>
      </c>
      <c r="AU40" s="31">
        <f>IF(AR40="","",IFERROR(TRIM(INDEX($A40:$AB40,MATCH(Lists!$B$7,$A$1:$AB$1,0))&amp;""),""))</f>
        <v/>
      </c>
      <c r="AV40" s="31">
        <f>IF(AR40="","",IFERROR(TRIM(INDEX($A40:$AB40,MATCH(Lists!$B$9,$A$1:$AB$1,0))&amp;""),""))</f>
        <v/>
      </c>
      <c r="AW40" s="31">
        <f>IF(AR40="","",IFERROR(TRIM(INDEX($A40:$AB40,MATCH(Lists!$B$8,$A$1:$AB$1,0))&amp;""),""))</f>
        <v/>
      </c>
      <c r="AX40" s="23">
        <f>IF(AR40="","",IF(OR(TRIM(AE40&amp;"")&lt;&gt;"",AND(Skills!$B$5&lt;&gt;"",ISNUMBER(SEARCH(Skills!$B$5,AU40)))),1,0))</f>
        <v/>
      </c>
      <c r="AY40" s="23">
        <f>IF(AR40="","",IF(OR(TRIM(AF40&amp;"")&lt;&gt;"",AND(Skills!$B$6&lt;&gt;"",ISNUMBER(SEARCH(Skills!$B$6,AU40)))),1,0))</f>
        <v/>
      </c>
      <c r="AZ40" s="23">
        <f>IF(AR40="","",IF(OR(TRIM(AG40&amp;"")&lt;&gt;"",AND(Skills!$B$7&lt;&gt;"",ISNUMBER(SEARCH(Skills!$B$7,AU40)))),1,0))</f>
        <v/>
      </c>
      <c r="BA40" s="23">
        <f>IF(AR40="","",IF(OR(TRIM(AH40&amp;"")&lt;&gt;"",AND(Skills!$B$8&lt;&gt;"",ISNUMBER(SEARCH(Skills!$B$8,AU40)))),1,0))</f>
        <v/>
      </c>
      <c r="BB40" s="23">
        <f>IF(AR40="","",IF(OR(TRIM(AI40&amp;"")&lt;&gt;"",AND(Skills!$B$9&lt;&gt;"",ISNUMBER(SEARCH(Skills!$B$9,AU40)))),1,0))</f>
        <v/>
      </c>
      <c r="BC40" s="23">
        <f>IF(AR40="","",IF(OR(TRIM(AJ40&amp;"")&lt;&gt;"",AND(Skills!$B$10&lt;&gt;"",ISNUMBER(SEARCH(Skills!$B$10,AU40)))),1,0))</f>
        <v/>
      </c>
      <c r="BD40" s="23">
        <f>IF(AR40="","",IF(OR(TRIM(AK40&amp;"")&lt;&gt;"",AND(Skills!$B$11&lt;&gt;"",ISNUMBER(SEARCH(Skills!$B$11,AU40)))),1,0))</f>
        <v/>
      </c>
      <c r="BE40" s="23">
        <f>IF(AR40="","",IF(OR(TRIM(AL40&amp;"")&lt;&gt;"",AND(Skills!$B$12&lt;&gt;"",ISNUMBER(SEARCH(Skills!$B$12,AU40)))),1,0))</f>
        <v/>
      </c>
      <c r="BF40" s="23">
        <f>IF(AR40="","",IF(OR(TRIM(AM40&amp;"")&lt;&gt;"",AND(Skills!$B$13&lt;&gt;"",ISNUMBER(SEARCH(Skills!$B$13,AU40)))),1,0))</f>
        <v/>
      </c>
      <c r="BG40" s="23">
        <f>IF(AR40="","",IF(OR(TRIM(AN40&amp;"")&lt;&gt;"",AND(Skills!$B$14&lt;&gt;"",ISNUMBER(SEARCH(Skills!$B$14,AU40)))),1,0))</f>
        <v/>
      </c>
      <c r="BH40" s="23">
        <f>IF(AR40="","",IF(OR(TRIM(AO40&amp;"")&lt;&gt;"",AND(Skills!$B$15&lt;&gt;"",ISNUMBER(SEARCH(Skills!$B$15,AU40)))),1,0))</f>
        <v/>
      </c>
      <c r="BI40" s="23">
        <f>IF(AR40="","",IF(OR(TRIM(AP40&amp;"")&lt;&gt;"",AND(Skills!$B$16&lt;&gt;"",ISNUMBER(SEARCH(Skills!$B$16,AU40)))),1,0))</f>
        <v/>
      </c>
      <c r="BJ40" s="23">
        <f>IF(AR40="","",SUMPRODUCT($AX40:$BI40,Skills!$B$20:$M$20))</f>
        <v/>
      </c>
      <c r="BK40" s="23">
        <f>IF(AR40="","",BJ40*100000+(100000-ROW()))</f>
        <v/>
      </c>
      <c r="BL40" s="31">
        <f>IF(AR40="","",IF((IF(AND(AX40=1,Skills!$B$20=1),Skills!$B$5&amp;", ","")&amp;IF(AND(AY40=1,Skills!$C$20=1),Skills!$B$6&amp;", ","")&amp;IF(AND(AZ40=1,Skills!$D$20=1),Skills!$B$7&amp;", ","")&amp;IF(AND(BA40=1,Skills!$E$20=1),Skills!$B$8&amp;", ","")&amp;IF(AND(BB40=1,Skills!$F$20=1),Skills!$B$9&amp;", ","")&amp;IF(AND(BC40=1,Skills!$G$20=1),Skills!$B$10&amp;", ","")&amp;IF(AND(BD40=1,Skills!$H$20=1),Skills!$B$11&amp;", ","")&amp;IF(AND(BE40=1,Skills!$I$20=1),Skills!$B$12&amp;", ","")&amp;IF(AND(BF40=1,Skills!$J$20=1),Skills!$B$13&amp;", ","")&amp;IF(AND(BG40=1,Skills!$K$20=1),Skills!$B$14&amp;", ","")&amp;IF(AND(BH40=1,Skills!$L$20=1),Skills!$B$15&amp;", ","")&amp;IF(AND(BI40=1,Skills!$M$20=1),Skills!$B$16&amp;", ",""))="","",LEFT(IF(AND(AX40=1,Skills!$B$20=1),Skills!$B$5&amp;", ","")&amp;IF(AND(AY40=1,Skills!$C$20=1),Skills!$B$6&amp;", ","")&amp;IF(AND(AZ40=1,Skills!$D$20=1),Skills!$B$7&amp;", ","")&amp;IF(AND(BA40=1,Skills!$E$20=1),Skills!$B$8&amp;", ","")&amp;IF(AND(BB40=1,Skills!$F$20=1),Skills!$B$9&amp;", ","")&amp;IF(AND(BC40=1,Skills!$G$20=1),Skills!$B$10&amp;", ","")&amp;IF(AND(BD40=1,Skills!$H$20=1),Skills!$B$11&amp;", ","")&amp;IF(AND(BE40=1,Skills!$I$20=1),Skills!$B$12&amp;", ","")&amp;IF(AND(BF40=1,Skills!$J$20=1),Skills!$B$13&amp;", ","")&amp;IF(AND(BG40=1,Skills!$K$20=1),Skills!$B$14&amp;", ","")&amp;IF(AND(BH40=1,Skills!$L$20=1),Skills!$B$15&amp;", ","")&amp;IF(AND(BI40=1,Skills!$M$20=1),Skills!$B$16&amp;", ",""),LEN(IF(AND(AX40=1,Skills!$B$20=1),Skills!$B$5&amp;", ","")&amp;IF(AND(AY40=1,Skills!$C$20=1),Skills!$B$6&amp;", ","")&amp;IF(AND(AZ40=1,Skills!$D$20=1),Skills!$B$7&amp;", ","")&amp;IF(AND(BA40=1,Skills!$E$20=1),Skills!$B$8&amp;", ","")&amp;IF(AND(BB40=1,Skills!$F$20=1),Skills!$B$9&amp;", ","")&amp;IF(AND(BC40=1,Skills!$G$20=1),Skills!$B$10&amp;", ","")&amp;IF(AND(BD40=1,Skills!$H$20=1),Skills!$B$11&amp;", ","")&amp;IF(AND(BE40=1,Skills!$I$20=1),Skills!$B$12&amp;", ","")&amp;IF(AND(BF40=1,Skills!$J$20=1),Skills!$B$13&amp;", ","")&amp;IF(AND(BG40=1,Skills!$K$20=1),Skills!$B$14&amp;", ","")&amp;IF(AND(BH40=1,Skills!$L$20=1),Skills!$B$15&amp;", ","")&amp;IF(AND(BI40=1,Skills!$M$20=1),Skills!$B$16&amp;", ",""))-2)))</f>
        <v/>
      </c>
    </row>
    <row r="41">
      <c r="AD41" s="20" t="n"/>
      <c r="AE41" s="20" t="n"/>
      <c r="AF41" s="20" t="n"/>
      <c r="AG41" s="20" t="n"/>
      <c r="AH41" s="20" t="n"/>
      <c r="AI41" s="20" t="n"/>
      <c r="AJ41" s="20" t="n"/>
      <c r="AK41" s="20" t="n"/>
      <c r="AL41" s="20" t="n"/>
      <c r="AM41" s="20" t="n"/>
      <c r="AN41" s="20" t="n"/>
      <c r="AO41" s="20" t="n"/>
      <c r="AP41" s="20" t="n"/>
      <c r="AR41" s="31">
        <f>IF(IFERROR(TRIM(INDEX($A41:$AB41,MATCH(Lists!$B$5,$A$1:$AB$1,0))&amp;""),"")&lt;&gt;"",IFERROR(TRIM(INDEX($A41:$AB41,MATCH(Lists!$B$5,$A$1:$AB$1,0))&amp;""),""),IFERROR(TRIM(INDEX($A41:$AB41,MATCH(Lists!$B$3,$A$1:$AB$1,0))&amp;""),""))</f>
        <v/>
      </c>
      <c r="AS41" s="31">
        <f>IF(AR41="","",IF(IFERROR(TRIM(INDEX($A41:$AB41,MATCH(Lists!$B$5,$A$1:$AB$1,0))&amp;""),"")&lt;&gt;"","Nominated","Applied"))</f>
        <v/>
      </c>
      <c r="AT41" s="31">
        <f>IF(AR41="","",IF(IFERROR(TRIM(INDEX($A41:$AB41,MATCH(Lists!$B$5,$A$1:$AB$1,0))&amp;""),"")&lt;&gt;"",IFERROR(TRIM(INDEX($A41:$AB41,MATCH(Lists!$B$6,$A$1:$AB$1,0))&amp;""),""),IFERROR(TRIM(INDEX($A41:$AB41,MATCH(Lists!$B$4,$A$1:$AB$1,0))&amp;""),"")))</f>
        <v/>
      </c>
      <c r="AU41" s="31">
        <f>IF(AR41="","",IFERROR(TRIM(INDEX($A41:$AB41,MATCH(Lists!$B$7,$A$1:$AB$1,0))&amp;""),""))</f>
        <v/>
      </c>
      <c r="AV41" s="31">
        <f>IF(AR41="","",IFERROR(TRIM(INDEX($A41:$AB41,MATCH(Lists!$B$9,$A$1:$AB$1,0))&amp;""),""))</f>
        <v/>
      </c>
      <c r="AW41" s="31">
        <f>IF(AR41="","",IFERROR(TRIM(INDEX($A41:$AB41,MATCH(Lists!$B$8,$A$1:$AB$1,0))&amp;""),""))</f>
        <v/>
      </c>
      <c r="AX41" s="23">
        <f>IF(AR41="","",IF(OR(TRIM(AE41&amp;"")&lt;&gt;"",AND(Skills!$B$5&lt;&gt;"",ISNUMBER(SEARCH(Skills!$B$5,AU41)))),1,0))</f>
        <v/>
      </c>
      <c r="AY41" s="23">
        <f>IF(AR41="","",IF(OR(TRIM(AF41&amp;"")&lt;&gt;"",AND(Skills!$B$6&lt;&gt;"",ISNUMBER(SEARCH(Skills!$B$6,AU41)))),1,0))</f>
        <v/>
      </c>
      <c r="AZ41" s="23">
        <f>IF(AR41="","",IF(OR(TRIM(AG41&amp;"")&lt;&gt;"",AND(Skills!$B$7&lt;&gt;"",ISNUMBER(SEARCH(Skills!$B$7,AU41)))),1,0))</f>
        <v/>
      </c>
      <c r="BA41" s="23">
        <f>IF(AR41="","",IF(OR(TRIM(AH41&amp;"")&lt;&gt;"",AND(Skills!$B$8&lt;&gt;"",ISNUMBER(SEARCH(Skills!$B$8,AU41)))),1,0))</f>
        <v/>
      </c>
      <c r="BB41" s="23">
        <f>IF(AR41="","",IF(OR(TRIM(AI41&amp;"")&lt;&gt;"",AND(Skills!$B$9&lt;&gt;"",ISNUMBER(SEARCH(Skills!$B$9,AU41)))),1,0))</f>
        <v/>
      </c>
      <c r="BC41" s="23">
        <f>IF(AR41="","",IF(OR(TRIM(AJ41&amp;"")&lt;&gt;"",AND(Skills!$B$10&lt;&gt;"",ISNUMBER(SEARCH(Skills!$B$10,AU41)))),1,0))</f>
        <v/>
      </c>
      <c r="BD41" s="23">
        <f>IF(AR41="","",IF(OR(TRIM(AK41&amp;"")&lt;&gt;"",AND(Skills!$B$11&lt;&gt;"",ISNUMBER(SEARCH(Skills!$B$11,AU41)))),1,0))</f>
        <v/>
      </c>
      <c r="BE41" s="23">
        <f>IF(AR41="","",IF(OR(TRIM(AL41&amp;"")&lt;&gt;"",AND(Skills!$B$12&lt;&gt;"",ISNUMBER(SEARCH(Skills!$B$12,AU41)))),1,0))</f>
        <v/>
      </c>
      <c r="BF41" s="23">
        <f>IF(AR41="","",IF(OR(TRIM(AM41&amp;"")&lt;&gt;"",AND(Skills!$B$13&lt;&gt;"",ISNUMBER(SEARCH(Skills!$B$13,AU41)))),1,0))</f>
        <v/>
      </c>
      <c r="BG41" s="23">
        <f>IF(AR41="","",IF(OR(TRIM(AN41&amp;"")&lt;&gt;"",AND(Skills!$B$14&lt;&gt;"",ISNUMBER(SEARCH(Skills!$B$14,AU41)))),1,0))</f>
        <v/>
      </c>
      <c r="BH41" s="23">
        <f>IF(AR41="","",IF(OR(TRIM(AO41&amp;"")&lt;&gt;"",AND(Skills!$B$15&lt;&gt;"",ISNUMBER(SEARCH(Skills!$B$15,AU41)))),1,0))</f>
        <v/>
      </c>
      <c r="BI41" s="23">
        <f>IF(AR41="","",IF(OR(TRIM(AP41&amp;"")&lt;&gt;"",AND(Skills!$B$16&lt;&gt;"",ISNUMBER(SEARCH(Skills!$B$16,AU41)))),1,0))</f>
        <v/>
      </c>
      <c r="BJ41" s="23">
        <f>IF(AR41="","",SUMPRODUCT($AX41:$BI41,Skills!$B$20:$M$20))</f>
        <v/>
      </c>
      <c r="BK41" s="23">
        <f>IF(AR41="","",BJ41*100000+(100000-ROW()))</f>
        <v/>
      </c>
      <c r="BL41" s="31">
        <f>IF(AR41="","",IF((IF(AND(AX41=1,Skills!$B$20=1),Skills!$B$5&amp;", ","")&amp;IF(AND(AY41=1,Skills!$C$20=1),Skills!$B$6&amp;", ","")&amp;IF(AND(AZ41=1,Skills!$D$20=1),Skills!$B$7&amp;", ","")&amp;IF(AND(BA41=1,Skills!$E$20=1),Skills!$B$8&amp;", ","")&amp;IF(AND(BB41=1,Skills!$F$20=1),Skills!$B$9&amp;", ","")&amp;IF(AND(BC41=1,Skills!$G$20=1),Skills!$B$10&amp;", ","")&amp;IF(AND(BD41=1,Skills!$H$20=1),Skills!$B$11&amp;", ","")&amp;IF(AND(BE41=1,Skills!$I$20=1),Skills!$B$12&amp;", ","")&amp;IF(AND(BF41=1,Skills!$J$20=1),Skills!$B$13&amp;", ","")&amp;IF(AND(BG41=1,Skills!$K$20=1),Skills!$B$14&amp;", ","")&amp;IF(AND(BH41=1,Skills!$L$20=1),Skills!$B$15&amp;", ","")&amp;IF(AND(BI41=1,Skills!$M$20=1),Skills!$B$16&amp;", ",""))="","",LEFT(IF(AND(AX41=1,Skills!$B$20=1),Skills!$B$5&amp;", ","")&amp;IF(AND(AY41=1,Skills!$C$20=1),Skills!$B$6&amp;", ","")&amp;IF(AND(AZ41=1,Skills!$D$20=1),Skills!$B$7&amp;", ","")&amp;IF(AND(BA41=1,Skills!$E$20=1),Skills!$B$8&amp;", ","")&amp;IF(AND(BB41=1,Skills!$F$20=1),Skills!$B$9&amp;", ","")&amp;IF(AND(BC41=1,Skills!$G$20=1),Skills!$B$10&amp;", ","")&amp;IF(AND(BD41=1,Skills!$H$20=1),Skills!$B$11&amp;", ","")&amp;IF(AND(BE41=1,Skills!$I$20=1),Skills!$B$12&amp;", ","")&amp;IF(AND(BF41=1,Skills!$J$20=1),Skills!$B$13&amp;", ","")&amp;IF(AND(BG41=1,Skills!$K$20=1),Skills!$B$14&amp;", ","")&amp;IF(AND(BH41=1,Skills!$L$20=1),Skills!$B$15&amp;", ","")&amp;IF(AND(BI41=1,Skills!$M$20=1),Skills!$B$16&amp;", ",""),LEN(IF(AND(AX41=1,Skills!$B$20=1),Skills!$B$5&amp;", ","")&amp;IF(AND(AY41=1,Skills!$C$20=1),Skills!$B$6&amp;", ","")&amp;IF(AND(AZ41=1,Skills!$D$20=1),Skills!$B$7&amp;", ","")&amp;IF(AND(BA41=1,Skills!$E$20=1),Skills!$B$8&amp;", ","")&amp;IF(AND(BB41=1,Skills!$F$20=1),Skills!$B$9&amp;", ","")&amp;IF(AND(BC41=1,Skills!$G$20=1),Skills!$B$10&amp;", ","")&amp;IF(AND(BD41=1,Skills!$H$20=1),Skills!$B$11&amp;", ","")&amp;IF(AND(BE41=1,Skills!$I$20=1),Skills!$B$12&amp;", ","")&amp;IF(AND(BF41=1,Skills!$J$20=1),Skills!$B$13&amp;", ","")&amp;IF(AND(BG41=1,Skills!$K$20=1),Skills!$B$14&amp;", ","")&amp;IF(AND(BH41=1,Skills!$L$20=1),Skills!$B$15&amp;", ","")&amp;IF(AND(BI41=1,Skills!$M$20=1),Skills!$B$16&amp;", ",""))-2)))</f>
        <v/>
      </c>
    </row>
    <row r="42">
      <c r="AD42" s="20" t="n"/>
      <c r="AE42" s="20" t="n"/>
      <c r="AF42" s="20" t="n"/>
      <c r="AG42" s="20" t="n"/>
      <c r="AH42" s="20" t="n"/>
      <c r="AI42" s="20" t="n"/>
      <c r="AJ42" s="20" t="n"/>
      <c r="AK42" s="20" t="n"/>
      <c r="AL42" s="20" t="n"/>
      <c r="AM42" s="20" t="n"/>
      <c r="AN42" s="20" t="n"/>
      <c r="AO42" s="20" t="n"/>
      <c r="AP42" s="20" t="n"/>
      <c r="AR42" s="31">
        <f>IF(IFERROR(TRIM(INDEX($A42:$AB42,MATCH(Lists!$B$5,$A$1:$AB$1,0))&amp;""),"")&lt;&gt;"",IFERROR(TRIM(INDEX($A42:$AB42,MATCH(Lists!$B$5,$A$1:$AB$1,0))&amp;""),""),IFERROR(TRIM(INDEX($A42:$AB42,MATCH(Lists!$B$3,$A$1:$AB$1,0))&amp;""),""))</f>
        <v/>
      </c>
      <c r="AS42" s="31">
        <f>IF(AR42="","",IF(IFERROR(TRIM(INDEX($A42:$AB42,MATCH(Lists!$B$5,$A$1:$AB$1,0))&amp;""),"")&lt;&gt;"","Nominated","Applied"))</f>
        <v/>
      </c>
      <c r="AT42" s="31">
        <f>IF(AR42="","",IF(IFERROR(TRIM(INDEX($A42:$AB42,MATCH(Lists!$B$5,$A$1:$AB$1,0))&amp;""),"")&lt;&gt;"",IFERROR(TRIM(INDEX($A42:$AB42,MATCH(Lists!$B$6,$A$1:$AB$1,0))&amp;""),""),IFERROR(TRIM(INDEX($A42:$AB42,MATCH(Lists!$B$4,$A$1:$AB$1,0))&amp;""),"")))</f>
        <v/>
      </c>
      <c r="AU42" s="31">
        <f>IF(AR42="","",IFERROR(TRIM(INDEX($A42:$AB42,MATCH(Lists!$B$7,$A$1:$AB$1,0))&amp;""),""))</f>
        <v/>
      </c>
      <c r="AV42" s="31">
        <f>IF(AR42="","",IFERROR(TRIM(INDEX($A42:$AB42,MATCH(Lists!$B$9,$A$1:$AB$1,0))&amp;""),""))</f>
        <v/>
      </c>
      <c r="AW42" s="31">
        <f>IF(AR42="","",IFERROR(TRIM(INDEX($A42:$AB42,MATCH(Lists!$B$8,$A$1:$AB$1,0))&amp;""),""))</f>
        <v/>
      </c>
      <c r="AX42" s="23">
        <f>IF(AR42="","",IF(OR(TRIM(AE42&amp;"")&lt;&gt;"",AND(Skills!$B$5&lt;&gt;"",ISNUMBER(SEARCH(Skills!$B$5,AU42)))),1,0))</f>
        <v/>
      </c>
      <c r="AY42" s="23">
        <f>IF(AR42="","",IF(OR(TRIM(AF42&amp;"")&lt;&gt;"",AND(Skills!$B$6&lt;&gt;"",ISNUMBER(SEARCH(Skills!$B$6,AU42)))),1,0))</f>
        <v/>
      </c>
      <c r="AZ42" s="23">
        <f>IF(AR42="","",IF(OR(TRIM(AG42&amp;"")&lt;&gt;"",AND(Skills!$B$7&lt;&gt;"",ISNUMBER(SEARCH(Skills!$B$7,AU42)))),1,0))</f>
        <v/>
      </c>
      <c r="BA42" s="23">
        <f>IF(AR42="","",IF(OR(TRIM(AH42&amp;"")&lt;&gt;"",AND(Skills!$B$8&lt;&gt;"",ISNUMBER(SEARCH(Skills!$B$8,AU42)))),1,0))</f>
        <v/>
      </c>
      <c r="BB42" s="23">
        <f>IF(AR42="","",IF(OR(TRIM(AI42&amp;"")&lt;&gt;"",AND(Skills!$B$9&lt;&gt;"",ISNUMBER(SEARCH(Skills!$B$9,AU42)))),1,0))</f>
        <v/>
      </c>
      <c r="BC42" s="23">
        <f>IF(AR42="","",IF(OR(TRIM(AJ42&amp;"")&lt;&gt;"",AND(Skills!$B$10&lt;&gt;"",ISNUMBER(SEARCH(Skills!$B$10,AU42)))),1,0))</f>
        <v/>
      </c>
      <c r="BD42" s="23">
        <f>IF(AR42="","",IF(OR(TRIM(AK42&amp;"")&lt;&gt;"",AND(Skills!$B$11&lt;&gt;"",ISNUMBER(SEARCH(Skills!$B$11,AU42)))),1,0))</f>
        <v/>
      </c>
      <c r="BE42" s="23">
        <f>IF(AR42="","",IF(OR(TRIM(AL42&amp;"")&lt;&gt;"",AND(Skills!$B$12&lt;&gt;"",ISNUMBER(SEARCH(Skills!$B$12,AU42)))),1,0))</f>
        <v/>
      </c>
      <c r="BF42" s="23">
        <f>IF(AR42="","",IF(OR(TRIM(AM42&amp;"")&lt;&gt;"",AND(Skills!$B$13&lt;&gt;"",ISNUMBER(SEARCH(Skills!$B$13,AU42)))),1,0))</f>
        <v/>
      </c>
      <c r="BG42" s="23">
        <f>IF(AR42="","",IF(OR(TRIM(AN42&amp;"")&lt;&gt;"",AND(Skills!$B$14&lt;&gt;"",ISNUMBER(SEARCH(Skills!$B$14,AU42)))),1,0))</f>
        <v/>
      </c>
      <c r="BH42" s="23">
        <f>IF(AR42="","",IF(OR(TRIM(AO42&amp;"")&lt;&gt;"",AND(Skills!$B$15&lt;&gt;"",ISNUMBER(SEARCH(Skills!$B$15,AU42)))),1,0))</f>
        <v/>
      </c>
      <c r="BI42" s="23">
        <f>IF(AR42="","",IF(OR(TRIM(AP42&amp;"")&lt;&gt;"",AND(Skills!$B$16&lt;&gt;"",ISNUMBER(SEARCH(Skills!$B$16,AU42)))),1,0))</f>
        <v/>
      </c>
      <c r="BJ42" s="23">
        <f>IF(AR42="","",SUMPRODUCT($AX42:$BI42,Skills!$B$20:$M$20))</f>
        <v/>
      </c>
      <c r="BK42" s="23">
        <f>IF(AR42="","",BJ42*100000+(100000-ROW()))</f>
        <v/>
      </c>
      <c r="BL42" s="31">
        <f>IF(AR42="","",IF((IF(AND(AX42=1,Skills!$B$20=1),Skills!$B$5&amp;", ","")&amp;IF(AND(AY42=1,Skills!$C$20=1),Skills!$B$6&amp;", ","")&amp;IF(AND(AZ42=1,Skills!$D$20=1),Skills!$B$7&amp;", ","")&amp;IF(AND(BA42=1,Skills!$E$20=1),Skills!$B$8&amp;", ","")&amp;IF(AND(BB42=1,Skills!$F$20=1),Skills!$B$9&amp;", ","")&amp;IF(AND(BC42=1,Skills!$G$20=1),Skills!$B$10&amp;", ","")&amp;IF(AND(BD42=1,Skills!$H$20=1),Skills!$B$11&amp;", ","")&amp;IF(AND(BE42=1,Skills!$I$20=1),Skills!$B$12&amp;", ","")&amp;IF(AND(BF42=1,Skills!$J$20=1),Skills!$B$13&amp;", ","")&amp;IF(AND(BG42=1,Skills!$K$20=1),Skills!$B$14&amp;", ","")&amp;IF(AND(BH42=1,Skills!$L$20=1),Skills!$B$15&amp;", ","")&amp;IF(AND(BI42=1,Skills!$M$20=1),Skills!$B$16&amp;", ",""))="","",LEFT(IF(AND(AX42=1,Skills!$B$20=1),Skills!$B$5&amp;", ","")&amp;IF(AND(AY42=1,Skills!$C$20=1),Skills!$B$6&amp;", ","")&amp;IF(AND(AZ42=1,Skills!$D$20=1),Skills!$B$7&amp;", ","")&amp;IF(AND(BA42=1,Skills!$E$20=1),Skills!$B$8&amp;", ","")&amp;IF(AND(BB42=1,Skills!$F$20=1),Skills!$B$9&amp;", ","")&amp;IF(AND(BC42=1,Skills!$G$20=1),Skills!$B$10&amp;", ","")&amp;IF(AND(BD42=1,Skills!$H$20=1),Skills!$B$11&amp;", ","")&amp;IF(AND(BE42=1,Skills!$I$20=1),Skills!$B$12&amp;", ","")&amp;IF(AND(BF42=1,Skills!$J$20=1),Skills!$B$13&amp;", ","")&amp;IF(AND(BG42=1,Skills!$K$20=1),Skills!$B$14&amp;", ","")&amp;IF(AND(BH42=1,Skills!$L$20=1),Skills!$B$15&amp;", ","")&amp;IF(AND(BI42=1,Skills!$M$20=1),Skills!$B$16&amp;", ",""),LEN(IF(AND(AX42=1,Skills!$B$20=1),Skills!$B$5&amp;", ","")&amp;IF(AND(AY42=1,Skills!$C$20=1),Skills!$B$6&amp;", ","")&amp;IF(AND(AZ42=1,Skills!$D$20=1),Skills!$B$7&amp;", ","")&amp;IF(AND(BA42=1,Skills!$E$20=1),Skills!$B$8&amp;", ","")&amp;IF(AND(BB42=1,Skills!$F$20=1),Skills!$B$9&amp;", ","")&amp;IF(AND(BC42=1,Skills!$G$20=1),Skills!$B$10&amp;", ","")&amp;IF(AND(BD42=1,Skills!$H$20=1),Skills!$B$11&amp;", ","")&amp;IF(AND(BE42=1,Skills!$I$20=1),Skills!$B$12&amp;", ","")&amp;IF(AND(BF42=1,Skills!$J$20=1),Skills!$B$13&amp;", ","")&amp;IF(AND(BG42=1,Skills!$K$20=1),Skills!$B$14&amp;", ","")&amp;IF(AND(BH42=1,Skills!$L$20=1),Skills!$B$15&amp;", ","")&amp;IF(AND(BI42=1,Skills!$M$20=1),Skills!$B$16&amp;", ",""))-2)))</f>
        <v/>
      </c>
    </row>
    <row r="43">
      <c r="AD43" s="20" t="n"/>
      <c r="AE43" s="20" t="n"/>
      <c r="AF43" s="20" t="n"/>
      <c r="AG43" s="20" t="n"/>
      <c r="AH43" s="20" t="n"/>
      <c r="AI43" s="20" t="n"/>
      <c r="AJ43" s="20" t="n"/>
      <c r="AK43" s="20" t="n"/>
      <c r="AL43" s="20" t="n"/>
      <c r="AM43" s="20" t="n"/>
      <c r="AN43" s="20" t="n"/>
      <c r="AO43" s="20" t="n"/>
      <c r="AP43" s="20" t="n"/>
      <c r="AR43" s="31">
        <f>IF(IFERROR(TRIM(INDEX($A43:$AB43,MATCH(Lists!$B$5,$A$1:$AB$1,0))&amp;""),"")&lt;&gt;"",IFERROR(TRIM(INDEX($A43:$AB43,MATCH(Lists!$B$5,$A$1:$AB$1,0))&amp;""),""),IFERROR(TRIM(INDEX($A43:$AB43,MATCH(Lists!$B$3,$A$1:$AB$1,0))&amp;""),""))</f>
        <v/>
      </c>
      <c r="AS43" s="31">
        <f>IF(AR43="","",IF(IFERROR(TRIM(INDEX($A43:$AB43,MATCH(Lists!$B$5,$A$1:$AB$1,0))&amp;""),"")&lt;&gt;"","Nominated","Applied"))</f>
        <v/>
      </c>
      <c r="AT43" s="31">
        <f>IF(AR43="","",IF(IFERROR(TRIM(INDEX($A43:$AB43,MATCH(Lists!$B$5,$A$1:$AB$1,0))&amp;""),"")&lt;&gt;"",IFERROR(TRIM(INDEX($A43:$AB43,MATCH(Lists!$B$6,$A$1:$AB$1,0))&amp;""),""),IFERROR(TRIM(INDEX($A43:$AB43,MATCH(Lists!$B$4,$A$1:$AB$1,0))&amp;""),"")))</f>
        <v/>
      </c>
      <c r="AU43" s="31">
        <f>IF(AR43="","",IFERROR(TRIM(INDEX($A43:$AB43,MATCH(Lists!$B$7,$A$1:$AB$1,0))&amp;""),""))</f>
        <v/>
      </c>
      <c r="AV43" s="31">
        <f>IF(AR43="","",IFERROR(TRIM(INDEX($A43:$AB43,MATCH(Lists!$B$9,$A$1:$AB$1,0))&amp;""),""))</f>
        <v/>
      </c>
      <c r="AW43" s="31">
        <f>IF(AR43="","",IFERROR(TRIM(INDEX($A43:$AB43,MATCH(Lists!$B$8,$A$1:$AB$1,0))&amp;""),""))</f>
        <v/>
      </c>
      <c r="AX43" s="23">
        <f>IF(AR43="","",IF(OR(TRIM(AE43&amp;"")&lt;&gt;"",AND(Skills!$B$5&lt;&gt;"",ISNUMBER(SEARCH(Skills!$B$5,AU43)))),1,0))</f>
        <v/>
      </c>
      <c r="AY43" s="23">
        <f>IF(AR43="","",IF(OR(TRIM(AF43&amp;"")&lt;&gt;"",AND(Skills!$B$6&lt;&gt;"",ISNUMBER(SEARCH(Skills!$B$6,AU43)))),1,0))</f>
        <v/>
      </c>
      <c r="AZ43" s="23">
        <f>IF(AR43="","",IF(OR(TRIM(AG43&amp;"")&lt;&gt;"",AND(Skills!$B$7&lt;&gt;"",ISNUMBER(SEARCH(Skills!$B$7,AU43)))),1,0))</f>
        <v/>
      </c>
      <c r="BA43" s="23">
        <f>IF(AR43="","",IF(OR(TRIM(AH43&amp;"")&lt;&gt;"",AND(Skills!$B$8&lt;&gt;"",ISNUMBER(SEARCH(Skills!$B$8,AU43)))),1,0))</f>
        <v/>
      </c>
      <c r="BB43" s="23">
        <f>IF(AR43="","",IF(OR(TRIM(AI43&amp;"")&lt;&gt;"",AND(Skills!$B$9&lt;&gt;"",ISNUMBER(SEARCH(Skills!$B$9,AU43)))),1,0))</f>
        <v/>
      </c>
      <c r="BC43" s="23">
        <f>IF(AR43="","",IF(OR(TRIM(AJ43&amp;"")&lt;&gt;"",AND(Skills!$B$10&lt;&gt;"",ISNUMBER(SEARCH(Skills!$B$10,AU43)))),1,0))</f>
        <v/>
      </c>
      <c r="BD43" s="23">
        <f>IF(AR43="","",IF(OR(TRIM(AK43&amp;"")&lt;&gt;"",AND(Skills!$B$11&lt;&gt;"",ISNUMBER(SEARCH(Skills!$B$11,AU43)))),1,0))</f>
        <v/>
      </c>
      <c r="BE43" s="23">
        <f>IF(AR43="","",IF(OR(TRIM(AL43&amp;"")&lt;&gt;"",AND(Skills!$B$12&lt;&gt;"",ISNUMBER(SEARCH(Skills!$B$12,AU43)))),1,0))</f>
        <v/>
      </c>
      <c r="BF43" s="23">
        <f>IF(AR43="","",IF(OR(TRIM(AM43&amp;"")&lt;&gt;"",AND(Skills!$B$13&lt;&gt;"",ISNUMBER(SEARCH(Skills!$B$13,AU43)))),1,0))</f>
        <v/>
      </c>
      <c r="BG43" s="23">
        <f>IF(AR43="","",IF(OR(TRIM(AN43&amp;"")&lt;&gt;"",AND(Skills!$B$14&lt;&gt;"",ISNUMBER(SEARCH(Skills!$B$14,AU43)))),1,0))</f>
        <v/>
      </c>
      <c r="BH43" s="23">
        <f>IF(AR43="","",IF(OR(TRIM(AO43&amp;"")&lt;&gt;"",AND(Skills!$B$15&lt;&gt;"",ISNUMBER(SEARCH(Skills!$B$15,AU43)))),1,0))</f>
        <v/>
      </c>
      <c r="BI43" s="23">
        <f>IF(AR43="","",IF(OR(TRIM(AP43&amp;"")&lt;&gt;"",AND(Skills!$B$16&lt;&gt;"",ISNUMBER(SEARCH(Skills!$B$16,AU43)))),1,0))</f>
        <v/>
      </c>
      <c r="BJ43" s="23">
        <f>IF(AR43="","",SUMPRODUCT($AX43:$BI43,Skills!$B$20:$M$20))</f>
        <v/>
      </c>
      <c r="BK43" s="23">
        <f>IF(AR43="","",BJ43*100000+(100000-ROW()))</f>
        <v/>
      </c>
      <c r="BL43" s="31">
        <f>IF(AR43="","",IF((IF(AND(AX43=1,Skills!$B$20=1),Skills!$B$5&amp;", ","")&amp;IF(AND(AY43=1,Skills!$C$20=1),Skills!$B$6&amp;", ","")&amp;IF(AND(AZ43=1,Skills!$D$20=1),Skills!$B$7&amp;", ","")&amp;IF(AND(BA43=1,Skills!$E$20=1),Skills!$B$8&amp;", ","")&amp;IF(AND(BB43=1,Skills!$F$20=1),Skills!$B$9&amp;", ","")&amp;IF(AND(BC43=1,Skills!$G$20=1),Skills!$B$10&amp;", ","")&amp;IF(AND(BD43=1,Skills!$H$20=1),Skills!$B$11&amp;", ","")&amp;IF(AND(BE43=1,Skills!$I$20=1),Skills!$B$12&amp;", ","")&amp;IF(AND(BF43=1,Skills!$J$20=1),Skills!$B$13&amp;", ","")&amp;IF(AND(BG43=1,Skills!$K$20=1),Skills!$B$14&amp;", ","")&amp;IF(AND(BH43=1,Skills!$L$20=1),Skills!$B$15&amp;", ","")&amp;IF(AND(BI43=1,Skills!$M$20=1),Skills!$B$16&amp;", ",""))="","",LEFT(IF(AND(AX43=1,Skills!$B$20=1),Skills!$B$5&amp;", ","")&amp;IF(AND(AY43=1,Skills!$C$20=1),Skills!$B$6&amp;", ","")&amp;IF(AND(AZ43=1,Skills!$D$20=1),Skills!$B$7&amp;", ","")&amp;IF(AND(BA43=1,Skills!$E$20=1),Skills!$B$8&amp;", ","")&amp;IF(AND(BB43=1,Skills!$F$20=1),Skills!$B$9&amp;", ","")&amp;IF(AND(BC43=1,Skills!$G$20=1),Skills!$B$10&amp;", ","")&amp;IF(AND(BD43=1,Skills!$H$20=1),Skills!$B$11&amp;", ","")&amp;IF(AND(BE43=1,Skills!$I$20=1),Skills!$B$12&amp;", ","")&amp;IF(AND(BF43=1,Skills!$J$20=1),Skills!$B$13&amp;", ","")&amp;IF(AND(BG43=1,Skills!$K$20=1),Skills!$B$14&amp;", ","")&amp;IF(AND(BH43=1,Skills!$L$20=1),Skills!$B$15&amp;", ","")&amp;IF(AND(BI43=1,Skills!$M$20=1),Skills!$B$16&amp;", ",""),LEN(IF(AND(AX43=1,Skills!$B$20=1),Skills!$B$5&amp;", ","")&amp;IF(AND(AY43=1,Skills!$C$20=1),Skills!$B$6&amp;", ","")&amp;IF(AND(AZ43=1,Skills!$D$20=1),Skills!$B$7&amp;", ","")&amp;IF(AND(BA43=1,Skills!$E$20=1),Skills!$B$8&amp;", ","")&amp;IF(AND(BB43=1,Skills!$F$20=1),Skills!$B$9&amp;", ","")&amp;IF(AND(BC43=1,Skills!$G$20=1),Skills!$B$10&amp;", ","")&amp;IF(AND(BD43=1,Skills!$H$20=1),Skills!$B$11&amp;", ","")&amp;IF(AND(BE43=1,Skills!$I$20=1),Skills!$B$12&amp;", ","")&amp;IF(AND(BF43=1,Skills!$J$20=1),Skills!$B$13&amp;", ","")&amp;IF(AND(BG43=1,Skills!$K$20=1),Skills!$B$14&amp;", ","")&amp;IF(AND(BH43=1,Skills!$L$20=1),Skills!$B$15&amp;", ","")&amp;IF(AND(BI43=1,Skills!$M$20=1),Skills!$B$16&amp;", ",""))-2)))</f>
        <v/>
      </c>
    </row>
    <row r="44">
      <c r="AD44" s="20" t="n"/>
      <c r="AE44" s="20" t="n"/>
      <c r="AF44" s="20" t="n"/>
      <c r="AG44" s="20" t="n"/>
      <c r="AH44" s="20" t="n"/>
      <c r="AI44" s="20" t="n"/>
      <c r="AJ44" s="20" t="n"/>
      <c r="AK44" s="20" t="n"/>
      <c r="AL44" s="20" t="n"/>
      <c r="AM44" s="20" t="n"/>
      <c r="AN44" s="20" t="n"/>
      <c r="AO44" s="20" t="n"/>
      <c r="AP44" s="20" t="n"/>
      <c r="AR44" s="31">
        <f>IF(IFERROR(TRIM(INDEX($A44:$AB44,MATCH(Lists!$B$5,$A$1:$AB$1,0))&amp;""),"")&lt;&gt;"",IFERROR(TRIM(INDEX($A44:$AB44,MATCH(Lists!$B$5,$A$1:$AB$1,0))&amp;""),""),IFERROR(TRIM(INDEX($A44:$AB44,MATCH(Lists!$B$3,$A$1:$AB$1,0))&amp;""),""))</f>
        <v/>
      </c>
      <c r="AS44" s="31">
        <f>IF(AR44="","",IF(IFERROR(TRIM(INDEX($A44:$AB44,MATCH(Lists!$B$5,$A$1:$AB$1,0))&amp;""),"")&lt;&gt;"","Nominated","Applied"))</f>
        <v/>
      </c>
      <c r="AT44" s="31">
        <f>IF(AR44="","",IF(IFERROR(TRIM(INDEX($A44:$AB44,MATCH(Lists!$B$5,$A$1:$AB$1,0))&amp;""),"")&lt;&gt;"",IFERROR(TRIM(INDEX($A44:$AB44,MATCH(Lists!$B$6,$A$1:$AB$1,0))&amp;""),""),IFERROR(TRIM(INDEX($A44:$AB44,MATCH(Lists!$B$4,$A$1:$AB$1,0))&amp;""),"")))</f>
        <v/>
      </c>
      <c r="AU44" s="31">
        <f>IF(AR44="","",IFERROR(TRIM(INDEX($A44:$AB44,MATCH(Lists!$B$7,$A$1:$AB$1,0))&amp;""),""))</f>
        <v/>
      </c>
      <c r="AV44" s="31">
        <f>IF(AR44="","",IFERROR(TRIM(INDEX($A44:$AB44,MATCH(Lists!$B$9,$A$1:$AB$1,0))&amp;""),""))</f>
        <v/>
      </c>
      <c r="AW44" s="31">
        <f>IF(AR44="","",IFERROR(TRIM(INDEX($A44:$AB44,MATCH(Lists!$B$8,$A$1:$AB$1,0))&amp;""),""))</f>
        <v/>
      </c>
      <c r="AX44" s="23">
        <f>IF(AR44="","",IF(OR(TRIM(AE44&amp;"")&lt;&gt;"",AND(Skills!$B$5&lt;&gt;"",ISNUMBER(SEARCH(Skills!$B$5,AU44)))),1,0))</f>
        <v/>
      </c>
      <c r="AY44" s="23">
        <f>IF(AR44="","",IF(OR(TRIM(AF44&amp;"")&lt;&gt;"",AND(Skills!$B$6&lt;&gt;"",ISNUMBER(SEARCH(Skills!$B$6,AU44)))),1,0))</f>
        <v/>
      </c>
      <c r="AZ44" s="23">
        <f>IF(AR44="","",IF(OR(TRIM(AG44&amp;"")&lt;&gt;"",AND(Skills!$B$7&lt;&gt;"",ISNUMBER(SEARCH(Skills!$B$7,AU44)))),1,0))</f>
        <v/>
      </c>
      <c r="BA44" s="23">
        <f>IF(AR44="","",IF(OR(TRIM(AH44&amp;"")&lt;&gt;"",AND(Skills!$B$8&lt;&gt;"",ISNUMBER(SEARCH(Skills!$B$8,AU44)))),1,0))</f>
        <v/>
      </c>
      <c r="BB44" s="23">
        <f>IF(AR44="","",IF(OR(TRIM(AI44&amp;"")&lt;&gt;"",AND(Skills!$B$9&lt;&gt;"",ISNUMBER(SEARCH(Skills!$B$9,AU44)))),1,0))</f>
        <v/>
      </c>
      <c r="BC44" s="23">
        <f>IF(AR44="","",IF(OR(TRIM(AJ44&amp;"")&lt;&gt;"",AND(Skills!$B$10&lt;&gt;"",ISNUMBER(SEARCH(Skills!$B$10,AU44)))),1,0))</f>
        <v/>
      </c>
      <c r="BD44" s="23">
        <f>IF(AR44="","",IF(OR(TRIM(AK44&amp;"")&lt;&gt;"",AND(Skills!$B$11&lt;&gt;"",ISNUMBER(SEARCH(Skills!$B$11,AU44)))),1,0))</f>
        <v/>
      </c>
      <c r="BE44" s="23">
        <f>IF(AR44="","",IF(OR(TRIM(AL44&amp;"")&lt;&gt;"",AND(Skills!$B$12&lt;&gt;"",ISNUMBER(SEARCH(Skills!$B$12,AU44)))),1,0))</f>
        <v/>
      </c>
      <c r="BF44" s="23">
        <f>IF(AR44="","",IF(OR(TRIM(AM44&amp;"")&lt;&gt;"",AND(Skills!$B$13&lt;&gt;"",ISNUMBER(SEARCH(Skills!$B$13,AU44)))),1,0))</f>
        <v/>
      </c>
      <c r="BG44" s="23">
        <f>IF(AR44="","",IF(OR(TRIM(AN44&amp;"")&lt;&gt;"",AND(Skills!$B$14&lt;&gt;"",ISNUMBER(SEARCH(Skills!$B$14,AU44)))),1,0))</f>
        <v/>
      </c>
      <c r="BH44" s="23">
        <f>IF(AR44="","",IF(OR(TRIM(AO44&amp;"")&lt;&gt;"",AND(Skills!$B$15&lt;&gt;"",ISNUMBER(SEARCH(Skills!$B$15,AU44)))),1,0))</f>
        <v/>
      </c>
      <c r="BI44" s="23">
        <f>IF(AR44="","",IF(OR(TRIM(AP44&amp;"")&lt;&gt;"",AND(Skills!$B$16&lt;&gt;"",ISNUMBER(SEARCH(Skills!$B$16,AU44)))),1,0))</f>
        <v/>
      </c>
      <c r="BJ44" s="23">
        <f>IF(AR44="","",SUMPRODUCT($AX44:$BI44,Skills!$B$20:$M$20))</f>
        <v/>
      </c>
      <c r="BK44" s="23">
        <f>IF(AR44="","",BJ44*100000+(100000-ROW()))</f>
        <v/>
      </c>
      <c r="BL44" s="31">
        <f>IF(AR44="","",IF((IF(AND(AX44=1,Skills!$B$20=1),Skills!$B$5&amp;", ","")&amp;IF(AND(AY44=1,Skills!$C$20=1),Skills!$B$6&amp;", ","")&amp;IF(AND(AZ44=1,Skills!$D$20=1),Skills!$B$7&amp;", ","")&amp;IF(AND(BA44=1,Skills!$E$20=1),Skills!$B$8&amp;", ","")&amp;IF(AND(BB44=1,Skills!$F$20=1),Skills!$B$9&amp;", ","")&amp;IF(AND(BC44=1,Skills!$G$20=1),Skills!$B$10&amp;", ","")&amp;IF(AND(BD44=1,Skills!$H$20=1),Skills!$B$11&amp;", ","")&amp;IF(AND(BE44=1,Skills!$I$20=1),Skills!$B$12&amp;", ","")&amp;IF(AND(BF44=1,Skills!$J$20=1),Skills!$B$13&amp;", ","")&amp;IF(AND(BG44=1,Skills!$K$20=1),Skills!$B$14&amp;", ","")&amp;IF(AND(BH44=1,Skills!$L$20=1),Skills!$B$15&amp;", ","")&amp;IF(AND(BI44=1,Skills!$M$20=1),Skills!$B$16&amp;", ",""))="","",LEFT(IF(AND(AX44=1,Skills!$B$20=1),Skills!$B$5&amp;", ","")&amp;IF(AND(AY44=1,Skills!$C$20=1),Skills!$B$6&amp;", ","")&amp;IF(AND(AZ44=1,Skills!$D$20=1),Skills!$B$7&amp;", ","")&amp;IF(AND(BA44=1,Skills!$E$20=1),Skills!$B$8&amp;", ","")&amp;IF(AND(BB44=1,Skills!$F$20=1),Skills!$B$9&amp;", ","")&amp;IF(AND(BC44=1,Skills!$G$20=1),Skills!$B$10&amp;", ","")&amp;IF(AND(BD44=1,Skills!$H$20=1),Skills!$B$11&amp;", ","")&amp;IF(AND(BE44=1,Skills!$I$20=1),Skills!$B$12&amp;", ","")&amp;IF(AND(BF44=1,Skills!$J$20=1),Skills!$B$13&amp;", ","")&amp;IF(AND(BG44=1,Skills!$K$20=1),Skills!$B$14&amp;", ","")&amp;IF(AND(BH44=1,Skills!$L$20=1),Skills!$B$15&amp;", ","")&amp;IF(AND(BI44=1,Skills!$M$20=1),Skills!$B$16&amp;", ",""),LEN(IF(AND(AX44=1,Skills!$B$20=1),Skills!$B$5&amp;", ","")&amp;IF(AND(AY44=1,Skills!$C$20=1),Skills!$B$6&amp;", ","")&amp;IF(AND(AZ44=1,Skills!$D$20=1),Skills!$B$7&amp;", ","")&amp;IF(AND(BA44=1,Skills!$E$20=1),Skills!$B$8&amp;", ","")&amp;IF(AND(BB44=1,Skills!$F$20=1),Skills!$B$9&amp;", ","")&amp;IF(AND(BC44=1,Skills!$G$20=1),Skills!$B$10&amp;", ","")&amp;IF(AND(BD44=1,Skills!$H$20=1),Skills!$B$11&amp;", ","")&amp;IF(AND(BE44=1,Skills!$I$20=1),Skills!$B$12&amp;", ","")&amp;IF(AND(BF44=1,Skills!$J$20=1),Skills!$B$13&amp;", ","")&amp;IF(AND(BG44=1,Skills!$K$20=1),Skills!$B$14&amp;", ","")&amp;IF(AND(BH44=1,Skills!$L$20=1),Skills!$B$15&amp;", ","")&amp;IF(AND(BI44=1,Skills!$M$20=1),Skills!$B$16&amp;", ",""))-2)))</f>
        <v/>
      </c>
    </row>
    <row r="45">
      <c r="AD45" s="20" t="n"/>
      <c r="AE45" s="20" t="n"/>
      <c r="AF45" s="20" t="n"/>
      <c r="AG45" s="20" t="n"/>
      <c r="AH45" s="20" t="n"/>
      <c r="AI45" s="20" t="n"/>
      <c r="AJ45" s="20" t="n"/>
      <c r="AK45" s="20" t="n"/>
      <c r="AL45" s="20" t="n"/>
      <c r="AM45" s="20" t="n"/>
      <c r="AN45" s="20" t="n"/>
      <c r="AO45" s="20" t="n"/>
      <c r="AP45" s="20" t="n"/>
      <c r="AR45" s="31">
        <f>IF(IFERROR(TRIM(INDEX($A45:$AB45,MATCH(Lists!$B$5,$A$1:$AB$1,0))&amp;""),"")&lt;&gt;"",IFERROR(TRIM(INDEX($A45:$AB45,MATCH(Lists!$B$5,$A$1:$AB$1,0))&amp;""),""),IFERROR(TRIM(INDEX($A45:$AB45,MATCH(Lists!$B$3,$A$1:$AB$1,0))&amp;""),""))</f>
        <v/>
      </c>
      <c r="AS45" s="31">
        <f>IF(AR45="","",IF(IFERROR(TRIM(INDEX($A45:$AB45,MATCH(Lists!$B$5,$A$1:$AB$1,0))&amp;""),"")&lt;&gt;"","Nominated","Applied"))</f>
        <v/>
      </c>
      <c r="AT45" s="31">
        <f>IF(AR45="","",IF(IFERROR(TRIM(INDEX($A45:$AB45,MATCH(Lists!$B$5,$A$1:$AB$1,0))&amp;""),"")&lt;&gt;"",IFERROR(TRIM(INDEX($A45:$AB45,MATCH(Lists!$B$6,$A$1:$AB$1,0))&amp;""),""),IFERROR(TRIM(INDEX($A45:$AB45,MATCH(Lists!$B$4,$A$1:$AB$1,0))&amp;""),"")))</f>
        <v/>
      </c>
      <c r="AU45" s="31">
        <f>IF(AR45="","",IFERROR(TRIM(INDEX($A45:$AB45,MATCH(Lists!$B$7,$A$1:$AB$1,0))&amp;""),""))</f>
        <v/>
      </c>
      <c r="AV45" s="31">
        <f>IF(AR45="","",IFERROR(TRIM(INDEX($A45:$AB45,MATCH(Lists!$B$9,$A$1:$AB$1,0))&amp;""),""))</f>
        <v/>
      </c>
      <c r="AW45" s="31">
        <f>IF(AR45="","",IFERROR(TRIM(INDEX($A45:$AB45,MATCH(Lists!$B$8,$A$1:$AB$1,0))&amp;""),""))</f>
        <v/>
      </c>
      <c r="AX45" s="23">
        <f>IF(AR45="","",IF(OR(TRIM(AE45&amp;"")&lt;&gt;"",AND(Skills!$B$5&lt;&gt;"",ISNUMBER(SEARCH(Skills!$B$5,AU45)))),1,0))</f>
        <v/>
      </c>
      <c r="AY45" s="23">
        <f>IF(AR45="","",IF(OR(TRIM(AF45&amp;"")&lt;&gt;"",AND(Skills!$B$6&lt;&gt;"",ISNUMBER(SEARCH(Skills!$B$6,AU45)))),1,0))</f>
        <v/>
      </c>
      <c r="AZ45" s="23">
        <f>IF(AR45="","",IF(OR(TRIM(AG45&amp;"")&lt;&gt;"",AND(Skills!$B$7&lt;&gt;"",ISNUMBER(SEARCH(Skills!$B$7,AU45)))),1,0))</f>
        <v/>
      </c>
      <c r="BA45" s="23">
        <f>IF(AR45="","",IF(OR(TRIM(AH45&amp;"")&lt;&gt;"",AND(Skills!$B$8&lt;&gt;"",ISNUMBER(SEARCH(Skills!$B$8,AU45)))),1,0))</f>
        <v/>
      </c>
      <c r="BB45" s="23">
        <f>IF(AR45="","",IF(OR(TRIM(AI45&amp;"")&lt;&gt;"",AND(Skills!$B$9&lt;&gt;"",ISNUMBER(SEARCH(Skills!$B$9,AU45)))),1,0))</f>
        <v/>
      </c>
      <c r="BC45" s="23">
        <f>IF(AR45="","",IF(OR(TRIM(AJ45&amp;"")&lt;&gt;"",AND(Skills!$B$10&lt;&gt;"",ISNUMBER(SEARCH(Skills!$B$10,AU45)))),1,0))</f>
        <v/>
      </c>
      <c r="BD45" s="23">
        <f>IF(AR45="","",IF(OR(TRIM(AK45&amp;"")&lt;&gt;"",AND(Skills!$B$11&lt;&gt;"",ISNUMBER(SEARCH(Skills!$B$11,AU45)))),1,0))</f>
        <v/>
      </c>
      <c r="BE45" s="23">
        <f>IF(AR45="","",IF(OR(TRIM(AL45&amp;"")&lt;&gt;"",AND(Skills!$B$12&lt;&gt;"",ISNUMBER(SEARCH(Skills!$B$12,AU45)))),1,0))</f>
        <v/>
      </c>
      <c r="BF45" s="23">
        <f>IF(AR45="","",IF(OR(TRIM(AM45&amp;"")&lt;&gt;"",AND(Skills!$B$13&lt;&gt;"",ISNUMBER(SEARCH(Skills!$B$13,AU45)))),1,0))</f>
        <v/>
      </c>
      <c r="BG45" s="23">
        <f>IF(AR45="","",IF(OR(TRIM(AN45&amp;"")&lt;&gt;"",AND(Skills!$B$14&lt;&gt;"",ISNUMBER(SEARCH(Skills!$B$14,AU45)))),1,0))</f>
        <v/>
      </c>
      <c r="BH45" s="23">
        <f>IF(AR45="","",IF(OR(TRIM(AO45&amp;"")&lt;&gt;"",AND(Skills!$B$15&lt;&gt;"",ISNUMBER(SEARCH(Skills!$B$15,AU45)))),1,0))</f>
        <v/>
      </c>
      <c r="BI45" s="23">
        <f>IF(AR45="","",IF(OR(TRIM(AP45&amp;"")&lt;&gt;"",AND(Skills!$B$16&lt;&gt;"",ISNUMBER(SEARCH(Skills!$B$16,AU45)))),1,0))</f>
        <v/>
      </c>
      <c r="BJ45" s="23">
        <f>IF(AR45="","",SUMPRODUCT($AX45:$BI45,Skills!$B$20:$M$20))</f>
        <v/>
      </c>
      <c r="BK45" s="23">
        <f>IF(AR45="","",BJ45*100000+(100000-ROW()))</f>
        <v/>
      </c>
      <c r="BL45" s="31">
        <f>IF(AR45="","",IF((IF(AND(AX45=1,Skills!$B$20=1),Skills!$B$5&amp;", ","")&amp;IF(AND(AY45=1,Skills!$C$20=1),Skills!$B$6&amp;", ","")&amp;IF(AND(AZ45=1,Skills!$D$20=1),Skills!$B$7&amp;", ","")&amp;IF(AND(BA45=1,Skills!$E$20=1),Skills!$B$8&amp;", ","")&amp;IF(AND(BB45=1,Skills!$F$20=1),Skills!$B$9&amp;", ","")&amp;IF(AND(BC45=1,Skills!$G$20=1),Skills!$B$10&amp;", ","")&amp;IF(AND(BD45=1,Skills!$H$20=1),Skills!$B$11&amp;", ","")&amp;IF(AND(BE45=1,Skills!$I$20=1),Skills!$B$12&amp;", ","")&amp;IF(AND(BF45=1,Skills!$J$20=1),Skills!$B$13&amp;", ","")&amp;IF(AND(BG45=1,Skills!$K$20=1),Skills!$B$14&amp;", ","")&amp;IF(AND(BH45=1,Skills!$L$20=1),Skills!$B$15&amp;", ","")&amp;IF(AND(BI45=1,Skills!$M$20=1),Skills!$B$16&amp;", ",""))="","",LEFT(IF(AND(AX45=1,Skills!$B$20=1),Skills!$B$5&amp;", ","")&amp;IF(AND(AY45=1,Skills!$C$20=1),Skills!$B$6&amp;", ","")&amp;IF(AND(AZ45=1,Skills!$D$20=1),Skills!$B$7&amp;", ","")&amp;IF(AND(BA45=1,Skills!$E$20=1),Skills!$B$8&amp;", ","")&amp;IF(AND(BB45=1,Skills!$F$20=1),Skills!$B$9&amp;", ","")&amp;IF(AND(BC45=1,Skills!$G$20=1),Skills!$B$10&amp;", ","")&amp;IF(AND(BD45=1,Skills!$H$20=1),Skills!$B$11&amp;", ","")&amp;IF(AND(BE45=1,Skills!$I$20=1),Skills!$B$12&amp;", ","")&amp;IF(AND(BF45=1,Skills!$J$20=1),Skills!$B$13&amp;", ","")&amp;IF(AND(BG45=1,Skills!$K$20=1),Skills!$B$14&amp;", ","")&amp;IF(AND(BH45=1,Skills!$L$20=1),Skills!$B$15&amp;", ","")&amp;IF(AND(BI45=1,Skills!$M$20=1),Skills!$B$16&amp;", ",""),LEN(IF(AND(AX45=1,Skills!$B$20=1),Skills!$B$5&amp;", ","")&amp;IF(AND(AY45=1,Skills!$C$20=1),Skills!$B$6&amp;", ","")&amp;IF(AND(AZ45=1,Skills!$D$20=1),Skills!$B$7&amp;", ","")&amp;IF(AND(BA45=1,Skills!$E$20=1),Skills!$B$8&amp;", ","")&amp;IF(AND(BB45=1,Skills!$F$20=1),Skills!$B$9&amp;", ","")&amp;IF(AND(BC45=1,Skills!$G$20=1),Skills!$B$10&amp;", ","")&amp;IF(AND(BD45=1,Skills!$H$20=1),Skills!$B$11&amp;", ","")&amp;IF(AND(BE45=1,Skills!$I$20=1),Skills!$B$12&amp;", ","")&amp;IF(AND(BF45=1,Skills!$J$20=1),Skills!$B$13&amp;", ","")&amp;IF(AND(BG45=1,Skills!$K$20=1),Skills!$B$14&amp;", ","")&amp;IF(AND(BH45=1,Skills!$L$20=1),Skills!$B$15&amp;", ","")&amp;IF(AND(BI45=1,Skills!$M$20=1),Skills!$B$16&amp;", ",""))-2)))</f>
        <v/>
      </c>
    </row>
    <row r="46">
      <c r="AD46" s="20" t="n"/>
      <c r="AE46" s="20" t="n"/>
      <c r="AF46" s="20" t="n"/>
      <c r="AG46" s="20" t="n"/>
      <c r="AH46" s="20" t="n"/>
      <c r="AI46" s="20" t="n"/>
      <c r="AJ46" s="20" t="n"/>
      <c r="AK46" s="20" t="n"/>
      <c r="AL46" s="20" t="n"/>
      <c r="AM46" s="20" t="n"/>
      <c r="AN46" s="20" t="n"/>
      <c r="AO46" s="20" t="n"/>
      <c r="AP46" s="20" t="n"/>
      <c r="AR46" s="31">
        <f>IF(IFERROR(TRIM(INDEX($A46:$AB46,MATCH(Lists!$B$5,$A$1:$AB$1,0))&amp;""),"")&lt;&gt;"",IFERROR(TRIM(INDEX($A46:$AB46,MATCH(Lists!$B$5,$A$1:$AB$1,0))&amp;""),""),IFERROR(TRIM(INDEX($A46:$AB46,MATCH(Lists!$B$3,$A$1:$AB$1,0))&amp;""),""))</f>
        <v/>
      </c>
      <c r="AS46" s="31">
        <f>IF(AR46="","",IF(IFERROR(TRIM(INDEX($A46:$AB46,MATCH(Lists!$B$5,$A$1:$AB$1,0))&amp;""),"")&lt;&gt;"","Nominated","Applied"))</f>
        <v/>
      </c>
      <c r="AT46" s="31">
        <f>IF(AR46="","",IF(IFERROR(TRIM(INDEX($A46:$AB46,MATCH(Lists!$B$5,$A$1:$AB$1,0))&amp;""),"")&lt;&gt;"",IFERROR(TRIM(INDEX($A46:$AB46,MATCH(Lists!$B$6,$A$1:$AB$1,0))&amp;""),""),IFERROR(TRIM(INDEX($A46:$AB46,MATCH(Lists!$B$4,$A$1:$AB$1,0))&amp;""),"")))</f>
        <v/>
      </c>
      <c r="AU46" s="31">
        <f>IF(AR46="","",IFERROR(TRIM(INDEX($A46:$AB46,MATCH(Lists!$B$7,$A$1:$AB$1,0))&amp;""),""))</f>
        <v/>
      </c>
      <c r="AV46" s="31">
        <f>IF(AR46="","",IFERROR(TRIM(INDEX($A46:$AB46,MATCH(Lists!$B$9,$A$1:$AB$1,0))&amp;""),""))</f>
        <v/>
      </c>
      <c r="AW46" s="31">
        <f>IF(AR46="","",IFERROR(TRIM(INDEX($A46:$AB46,MATCH(Lists!$B$8,$A$1:$AB$1,0))&amp;""),""))</f>
        <v/>
      </c>
      <c r="AX46" s="23">
        <f>IF(AR46="","",IF(OR(TRIM(AE46&amp;"")&lt;&gt;"",AND(Skills!$B$5&lt;&gt;"",ISNUMBER(SEARCH(Skills!$B$5,AU46)))),1,0))</f>
        <v/>
      </c>
      <c r="AY46" s="23">
        <f>IF(AR46="","",IF(OR(TRIM(AF46&amp;"")&lt;&gt;"",AND(Skills!$B$6&lt;&gt;"",ISNUMBER(SEARCH(Skills!$B$6,AU46)))),1,0))</f>
        <v/>
      </c>
      <c r="AZ46" s="23">
        <f>IF(AR46="","",IF(OR(TRIM(AG46&amp;"")&lt;&gt;"",AND(Skills!$B$7&lt;&gt;"",ISNUMBER(SEARCH(Skills!$B$7,AU46)))),1,0))</f>
        <v/>
      </c>
      <c r="BA46" s="23">
        <f>IF(AR46="","",IF(OR(TRIM(AH46&amp;"")&lt;&gt;"",AND(Skills!$B$8&lt;&gt;"",ISNUMBER(SEARCH(Skills!$B$8,AU46)))),1,0))</f>
        <v/>
      </c>
      <c r="BB46" s="23">
        <f>IF(AR46="","",IF(OR(TRIM(AI46&amp;"")&lt;&gt;"",AND(Skills!$B$9&lt;&gt;"",ISNUMBER(SEARCH(Skills!$B$9,AU46)))),1,0))</f>
        <v/>
      </c>
      <c r="BC46" s="23">
        <f>IF(AR46="","",IF(OR(TRIM(AJ46&amp;"")&lt;&gt;"",AND(Skills!$B$10&lt;&gt;"",ISNUMBER(SEARCH(Skills!$B$10,AU46)))),1,0))</f>
        <v/>
      </c>
      <c r="BD46" s="23">
        <f>IF(AR46="","",IF(OR(TRIM(AK46&amp;"")&lt;&gt;"",AND(Skills!$B$11&lt;&gt;"",ISNUMBER(SEARCH(Skills!$B$11,AU46)))),1,0))</f>
        <v/>
      </c>
      <c r="BE46" s="23">
        <f>IF(AR46="","",IF(OR(TRIM(AL46&amp;"")&lt;&gt;"",AND(Skills!$B$12&lt;&gt;"",ISNUMBER(SEARCH(Skills!$B$12,AU46)))),1,0))</f>
        <v/>
      </c>
      <c r="BF46" s="23">
        <f>IF(AR46="","",IF(OR(TRIM(AM46&amp;"")&lt;&gt;"",AND(Skills!$B$13&lt;&gt;"",ISNUMBER(SEARCH(Skills!$B$13,AU46)))),1,0))</f>
        <v/>
      </c>
      <c r="BG46" s="23">
        <f>IF(AR46="","",IF(OR(TRIM(AN46&amp;"")&lt;&gt;"",AND(Skills!$B$14&lt;&gt;"",ISNUMBER(SEARCH(Skills!$B$14,AU46)))),1,0))</f>
        <v/>
      </c>
      <c r="BH46" s="23">
        <f>IF(AR46="","",IF(OR(TRIM(AO46&amp;"")&lt;&gt;"",AND(Skills!$B$15&lt;&gt;"",ISNUMBER(SEARCH(Skills!$B$15,AU46)))),1,0))</f>
        <v/>
      </c>
      <c r="BI46" s="23">
        <f>IF(AR46="","",IF(OR(TRIM(AP46&amp;"")&lt;&gt;"",AND(Skills!$B$16&lt;&gt;"",ISNUMBER(SEARCH(Skills!$B$16,AU46)))),1,0))</f>
        <v/>
      </c>
      <c r="BJ46" s="23">
        <f>IF(AR46="","",SUMPRODUCT($AX46:$BI46,Skills!$B$20:$M$20))</f>
        <v/>
      </c>
      <c r="BK46" s="23">
        <f>IF(AR46="","",BJ46*100000+(100000-ROW()))</f>
        <v/>
      </c>
      <c r="BL46" s="31">
        <f>IF(AR46="","",IF((IF(AND(AX46=1,Skills!$B$20=1),Skills!$B$5&amp;", ","")&amp;IF(AND(AY46=1,Skills!$C$20=1),Skills!$B$6&amp;", ","")&amp;IF(AND(AZ46=1,Skills!$D$20=1),Skills!$B$7&amp;", ","")&amp;IF(AND(BA46=1,Skills!$E$20=1),Skills!$B$8&amp;", ","")&amp;IF(AND(BB46=1,Skills!$F$20=1),Skills!$B$9&amp;", ","")&amp;IF(AND(BC46=1,Skills!$G$20=1),Skills!$B$10&amp;", ","")&amp;IF(AND(BD46=1,Skills!$H$20=1),Skills!$B$11&amp;", ","")&amp;IF(AND(BE46=1,Skills!$I$20=1),Skills!$B$12&amp;", ","")&amp;IF(AND(BF46=1,Skills!$J$20=1),Skills!$B$13&amp;", ","")&amp;IF(AND(BG46=1,Skills!$K$20=1),Skills!$B$14&amp;", ","")&amp;IF(AND(BH46=1,Skills!$L$20=1),Skills!$B$15&amp;", ","")&amp;IF(AND(BI46=1,Skills!$M$20=1),Skills!$B$16&amp;", ",""))="","",LEFT(IF(AND(AX46=1,Skills!$B$20=1),Skills!$B$5&amp;", ","")&amp;IF(AND(AY46=1,Skills!$C$20=1),Skills!$B$6&amp;", ","")&amp;IF(AND(AZ46=1,Skills!$D$20=1),Skills!$B$7&amp;", ","")&amp;IF(AND(BA46=1,Skills!$E$20=1),Skills!$B$8&amp;", ","")&amp;IF(AND(BB46=1,Skills!$F$20=1),Skills!$B$9&amp;", ","")&amp;IF(AND(BC46=1,Skills!$G$20=1),Skills!$B$10&amp;", ","")&amp;IF(AND(BD46=1,Skills!$H$20=1),Skills!$B$11&amp;", ","")&amp;IF(AND(BE46=1,Skills!$I$20=1),Skills!$B$12&amp;", ","")&amp;IF(AND(BF46=1,Skills!$J$20=1),Skills!$B$13&amp;", ","")&amp;IF(AND(BG46=1,Skills!$K$20=1),Skills!$B$14&amp;", ","")&amp;IF(AND(BH46=1,Skills!$L$20=1),Skills!$B$15&amp;", ","")&amp;IF(AND(BI46=1,Skills!$M$20=1),Skills!$B$16&amp;", ",""),LEN(IF(AND(AX46=1,Skills!$B$20=1),Skills!$B$5&amp;", ","")&amp;IF(AND(AY46=1,Skills!$C$20=1),Skills!$B$6&amp;", ","")&amp;IF(AND(AZ46=1,Skills!$D$20=1),Skills!$B$7&amp;", ","")&amp;IF(AND(BA46=1,Skills!$E$20=1),Skills!$B$8&amp;", ","")&amp;IF(AND(BB46=1,Skills!$F$20=1),Skills!$B$9&amp;", ","")&amp;IF(AND(BC46=1,Skills!$G$20=1),Skills!$B$10&amp;", ","")&amp;IF(AND(BD46=1,Skills!$H$20=1),Skills!$B$11&amp;", ","")&amp;IF(AND(BE46=1,Skills!$I$20=1),Skills!$B$12&amp;", ","")&amp;IF(AND(BF46=1,Skills!$J$20=1),Skills!$B$13&amp;", ","")&amp;IF(AND(BG46=1,Skills!$K$20=1),Skills!$B$14&amp;", ","")&amp;IF(AND(BH46=1,Skills!$L$20=1),Skills!$B$15&amp;", ","")&amp;IF(AND(BI46=1,Skills!$M$20=1),Skills!$B$16&amp;", ",""))-2)))</f>
        <v/>
      </c>
    </row>
    <row r="47">
      <c r="AD47" s="20" t="n"/>
      <c r="AE47" s="20" t="n"/>
      <c r="AF47" s="20" t="n"/>
      <c r="AG47" s="20" t="n"/>
      <c r="AH47" s="20" t="n"/>
      <c r="AI47" s="20" t="n"/>
      <c r="AJ47" s="20" t="n"/>
      <c r="AK47" s="20" t="n"/>
      <c r="AL47" s="20" t="n"/>
      <c r="AM47" s="20" t="n"/>
      <c r="AN47" s="20" t="n"/>
      <c r="AO47" s="20" t="n"/>
      <c r="AP47" s="20" t="n"/>
      <c r="AR47" s="31">
        <f>IF(IFERROR(TRIM(INDEX($A47:$AB47,MATCH(Lists!$B$5,$A$1:$AB$1,0))&amp;""),"")&lt;&gt;"",IFERROR(TRIM(INDEX($A47:$AB47,MATCH(Lists!$B$5,$A$1:$AB$1,0))&amp;""),""),IFERROR(TRIM(INDEX($A47:$AB47,MATCH(Lists!$B$3,$A$1:$AB$1,0))&amp;""),""))</f>
        <v/>
      </c>
      <c r="AS47" s="31">
        <f>IF(AR47="","",IF(IFERROR(TRIM(INDEX($A47:$AB47,MATCH(Lists!$B$5,$A$1:$AB$1,0))&amp;""),"")&lt;&gt;"","Nominated","Applied"))</f>
        <v/>
      </c>
      <c r="AT47" s="31">
        <f>IF(AR47="","",IF(IFERROR(TRIM(INDEX($A47:$AB47,MATCH(Lists!$B$5,$A$1:$AB$1,0))&amp;""),"")&lt;&gt;"",IFERROR(TRIM(INDEX($A47:$AB47,MATCH(Lists!$B$6,$A$1:$AB$1,0))&amp;""),""),IFERROR(TRIM(INDEX($A47:$AB47,MATCH(Lists!$B$4,$A$1:$AB$1,0))&amp;""),"")))</f>
        <v/>
      </c>
      <c r="AU47" s="31">
        <f>IF(AR47="","",IFERROR(TRIM(INDEX($A47:$AB47,MATCH(Lists!$B$7,$A$1:$AB$1,0))&amp;""),""))</f>
        <v/>
      </c>
      <c r="AV47" s="31">
        <f>IF(AR47="","",IFERROR(TRIM(INDEX($A47:$AB47,MATCH(Lists!$B$9,$A$1:$AB$1,0))&amp;""),""))</f>
        <v/>
      </c>
      <c r="AW47" s="31">
        <f>IF(AR47="","",IFERROR(TRIM(INDEX($A47:$AB47,MATCH(Lists!$B$8,$A$1:$AB$1,0))&amp;""),""))</f>
        <v/>
      </c>
      <c r="AX47" s="23">
        <f>IF(AR47="","",IF(OR(TRIM(AE47&amp;"")&lt;&gt;"",AND(Skills!$B$5&lt;&gt;"",ISNUMBER(SEARCH(Skills!$B$5,AU47)))),1,0))</f>
        <v/>
      </c>
      <c r="AY47" s="23">
        <f>IF(AR47="","",IF(OR(TRIM(AF47&amp;"")&lt;&gt;"",AND(Skills!$B$6&lt;&gt;"",ISNUMBER(SEARCH(Skills!$B$6,AU47)))),1,0))</f>
        <v/>
      </c>
      <c r="AZ47" s="23">
        <f>IF(AR47="","",IF(OR(TRIM(AG47&amp;"")&lt;&gt;"",AND(Skills!$B$7&lt;&gt;"",ISNUMBER(SEARCH(Skills!$B$7,AU47)))),1,0))</f>
        <v/>
      </c>
      <c r="BA47" s="23">
        <f>IF(AR47="","",IF(OR(TRIM(AH47&amp;"")&lt;&gt;"",AND(Skills!$B$8&lt;&gt;"",ISNUMBER(SEARCH(Skills!$B$8,AU47)))),1,0))</f>
        <v/>
      </c>
      <c r="BB47" s="23">
        <f>IF(AR47="","",IF(OR(TRIM(AI47&amp;"")&lt;&gt;"",AND(Skills!$B$9&lt;&gt;"",ISNUMBER(SEARCH(Skills!$B$9,AU47)))),1,0))</f>
        <v/>
      </c>
      <c r="BC47" s="23">
        <f>IF(AR47="","",IF(OR(TRIM(AJ47&amp;"")&lt;&gt;"",AND(Skills!$B$10&lt;&gt;"",ISNUMBER(SEARCH(Skills!$B$10,AU47)))),1,0))</f>
        <v/>
      </c>
      <c r="BD47" s="23">
        <f>IF(AR47="","",IF(OR(TRIM(AK47&amp;"")&lt;&gt;"",AND(Skills!$B$11&lt;&gt;"",ISNUMBER(SEARCH(Skills!$B$11,AU47)))),1,0))</f>
        <v/>
      </c>
      <c r="BE47" s="23">
        <f>IF(AR47="","",IF(OR(TRIM(AL47&amp;"")&lt;&gt;"",AND(Skills!$B$12&lt;&gt;"",ISNUMBER(SEARCH(Skills!$B$12,AU47)))),1,0))</f>
        <v/>
      </c>
      <c r="BF47" s="23">
        <f>IF(AR47="","",IF(OR(TRIM(AM47&amp;"")&lt;&gt;"",AND(Skills!$B$13&lt;&gt;"",ISNUMBER(SEARCH(Skills!$B$13,AU47)))),1,0))</f>
        <v/>
      </c>
      <c r="BG47" s="23">
        <f>IF(AR47="","",IF(OR(TRIM(AN47&amp;"")&lt;&gt;"",AND(Skills!$B$14&lt;&gt;"",ISNUMBER(SEARCH(Skills!$B$14,AU47)))),1,0))</f>
        <v/>
      </c>
      <c r="BH47" s="23">
        <f>IF(AR47="","",IF(OR(TRIM(AO47&amp;"")&lt;&gt;"",AND(Skills!$B$15&lt;&gt;"",ISNUMBER(SEARCH(Skills!$B$15,AU47)))),1,0))</f>
        <v/>
      </c>
      <c r="BI47" s="23">
        <f>IF(AR47="","",IF(OR(TRIM(AP47&amp;"")&lt;&gt;"",AND(Skills!$B$16&lt;&gt;"",ISNUMBER(SEARCH(Skills!$B$16,AU47)))),1,0))</f>
        <v/>
      </c>
      <c r="BJ47" s="23">
        <f>IF(AR47="","",SUMPRODUCT($AX47:$BI47,Skills!$B$20:$M$20))</f>
        <v/>
      </c>
      <c r="BK47" s="23">
        <f>IF(AR47="","",BJ47*100000+(100000-ROW()))</f>
        <v/>
      </c>
      <c r="BL47" s="31">
        <f>IF(AR47="","",IF((IF(AND(AX47=1,Skills!$B$20=1),Skills!$B$5&amp;", ","")&amp;IF(AND(AY47=1,Skills!$C$20=1),Skills!$B$6&amp;", ","")&amp;IF(AND(AZ47=1,Skills!$D$20=1),Skills!$B$7&amp;", ","")&amp;IF(AND(BA47=1,Skills!$E$20=1),Skills!$B$8&amp;", ","")&amp;IF(AND(BB47=1,Skills!$F$20=1),Skills!$B$9&amp;", ","")&amp;IF(AND(BC47=1,Skills!$G$20=1),Skills!$B$10&amp;", ","")&amp;IF(AND(BD47=1,Skills!$H$20=1),Skills!$B$11&amp;", ","")&amp;IF(AND(BE47=1,Skills!$I$20=1),Skills!$B$12&amp;", ","")&amp;IF(AND(BF47=1,Skills!$J$20=1),Skills!$B$13&amp;", ","")&amp;IF(AND(BG47=1,Skills!$K$20=1),Skills!$B$14&amp;", ","")&amp;IF(AND(BH47=1,Skills!$L$20=1),Skills!$B$15&amp;", ","")&amp;IF(AND(BI47=1,Skills!$M$20=1),Skills!$B$16&amp;", ",""))="","",LEFT(IF(AND(AX47=1,Skills!$B$20=1),Skills!$B$5&amp;", ","")&amp;IF(AND(AY47=1,Skills!$C$20=1),Skills!$B$6&amp;", ","")&amp;IF(AND(AZ47=1,Skills!$D$20=1),Skills!$B$7&amp;", ","")&amp;IF(AND(BA47=1,Skills!$E$20=1),Skills!$B$8&amp;", ","")&amp;IF(AND(BB47=1,Skills!$F$20=1),Skills!$B$9&amp;", ","")&amp;IF(AND(BC47=1,Skills!$G$20=1),Skills!$B$10&amp;", ","")&amp;IF(AND(BD47=1,Skills!$H$20=1),Skills!$B$11&amp;", ","")&amp;IF(AND(BE47=1,Skills!$I$20=1),Skills!$B$12&amp;", ","")&amp;IF(AND(BF47=1,Skills!$J$20=1),Skills!$B$13&amp;", ","")&amp;IF(AND(BG47=1,Skills!$K$20=1),Skills!$B$14&amp;", ","")&amp;IF(AND(BH47=1,Skills!$L$20=1),Skills!$B$15&amp;", ","")&amp;IF(AND(BI47=1,Skills!$M$20=1),Skills!$B$16&amp;", ",""),LEN(IF(AND(AX47=1,Skills!$B$20=1),Skills!$B$5&amp;", ","")&amp;IF(AND(AY47=1,Skills!$C$20=1),Skills!$B$6&amp;", ","")&amp;IF(AND(AZ47=1,Skills!$D$20=1),Skills!$B$7&amp;", ","")&amp;IF(AND(BA47=1,Skills!$E$20=1),Skills!$B$8&amp;", ","")&amp;IF(AND(BB47=1,Skills!$F$20=1),Skills!$B$9&amp;", ","")&amp;IF(AND(BC47=1,Skills!$G$20=1),Skills!$B$10&amp;", ","")&amp;IF(AND(BD47=1,Skills!$H$20=1),Skills!$B$11&amp;", ","")&amp;IF(AND(BE47=1,Skills!$I$20=1),Skills!$B$12&amp;", ","")&amp;IF(AND(BF47=1,Skills!$J$20=1),Skills!$B$13&amp;", ","")&amp;IF(AND(BG47=1,Skills!$K$20=1),Skills!$B$14&amp;", ","")&amp;IF(AND(BH47=1,Skills!$L$20=1),Skills!$B$15&amp;", ","")&amp;IF(AND(BI47=1,Skills!$M$20=1),Skills!$B$16&amp;", ",""))-2)))</f>
        <v/>
      </c>
    </row>
    <row r="48">
      <c r="AD48" s="20" t="n"/>
      <c r="AE48" s="20" t="n"/>
      <c r="AF48" s="20" t="n"/>
      <c r="AG48" s="20" t="n"/>
      <c r="AH48" s="20" t="n"/>
      <c r="AI48" s="20" t="n"/>
      <c r="AJ48" s="20" t="n"/>
      <c r="AK48" s="20" t="n"/>
      <c r="AL48" s="20" t="n"/>
      <c r="AM48" s="20" t="n"/>
      <c r="AN48" s="20" t="n"/>
      <c r="AO48" s="20" t="n"/>
      <c r="AP48" s="20" t="n"/>
      <c r="AR48" s="31">
        <f>IF(IFERROR(TRIM(INDEX($A48:$AB48,MATCH(Lists!$B$5,$A$1:$AB$1,0))&amp;""),"")&lt;&gt;"",IFERROR(TRIM(INDEX($A48:$AB48,MATCH(Lists!$B$5,$A$1:$AB$1,0))&amp;""),""),IFERROR(TRIM(INDEX($A48:$AB48,MATCH(Lists!$B$3,$A$1:$AB$1,0))&amp;""),""))</f>
        <v/>
      </c>
      <c r="AS48" s="31">
        <f>IF(AR48="","",IF(IFERROR(TRIM(INDEX($A48:$AB48,MATCH(Lists!$B$5,$A$1:$AB$1,0))&amp;""),"")&lt;&gt;"","Nominated","Applied"))</f>
        <v/>
      </c>
      <c r="AT48" s="31">
        <f>IF(AR48="","",IF(IFERROR(TRIM(INDEX($A48:$AB48,MATCH(Lists!$B$5,$A$1:$AB$1,0))&amp;""),"")&lt;&gt;"",IFERROR(TRIM(INDEX($A48:$AB48,MATCH(Lists!$B$6,$A$1:$AB$1,0))&amp;""),""),IFERROR(TRIM(INDEX($A48:$AB48,MATCH(Lists!$B$4,$A$1:$AB$1,0))&amp;""),"")))</f>
        <v/>
      </c>
      <c r="AU48" s="31">
        <f>IF(AR48="","",IFERROR(TRIM(INDEX($A48:$AB48,MATCH(Lists!$B$7,$A$1:$AB$1,0))&amp;""),""))</f>
        <v/>
      </c>
      <c r="AV48" s="31">
        <f>IF(AR48="","",IFERROR(TRIM(INDEX($A48:$AB48,MATCH(Lists!$B$9,$A$1:$AB$1,0))&amp;""),""))</f>
        <v/>
      </c>
      <c r="AW48" s="31">
        <f>IF(AR48="","",IFERROR(TRIM(INDEX($A48:$AB48,MATCH(Lists!$B$8,$A$1:$AB$1,0))&amp;""),""))</f>
        <v/>
      </c>
      <c r="AX48" s="23">
        <f>IF(AR48="","",IF(OR(TRIM(AE48&amp;"")&lt;&gt;"",AND(Skills!$B$5&lt;&gt;"",ISNUMBER(SEARCH(Skills!$B$5,AU48)))),1,0))</f>
        <v/>
      </c>
      <c r="AY48" s="23">
        <f>IF(AR48="","",IF(OR(TRIM(AF48&amp;"")&lt;&gt;"",AND(Skills!$B$6&lt;&gt;"",ISNUMBER(SEARCH(Skills!$B$6,AU48)))),1,0))</f>
        <v/>
      </c>
      <c r="AZ48" s="23">
        <f>IF(AR48="","",IF(OR(TRIM(AG48&amp;"")&lt;&gt;"",AND(Skills!$B$7&lt;&gt;"",ISNUMBER(SEARCH(Skills!$B$7,AU48)))),1,0))</f>
        <v/>
      </c>
      <c r="BA48" s="23">
        <f>IF(AR48="","",IF(OR(TRIM(AH48&amp;"")&lt;&gt;"",AND(Skills!$B$8&lt;&gt;"",ISNUMBER(SEARCH(Skills!$B$8,AU48)))),1,0))</f>
        <v/>
      </c>
      <c r="BB48" s="23">
        <f>IF(AR48="","",IF(OR(TRIM(AI48&amp;"")&lt;&gt;"",AND(Skills!$B$9&lt;&gt;"",ISNUMBER(SEARCH(Skills!$B$9,AU48)))),1,0))</f>
        <v/>
      </c>
      <c r="BC48" s="23">
        <f>IF(AR48="","",IF(OR(TRIM(AJ48&amp;"")&lt;&gt;"",AND(Skills!$B$10&lt;&gt;"",ISNUMBER(SEARCH(Skills!$B$10,AU48)))),1,0))</f>
        <v/>
      </c>
      <c r="BD48" s="23">
        <f>IF(AR48="","",IF(OR(TRIM(AK48&amp;"")&lt;&gt;"",AND(Skills!$B$11&lt;&gt;"",ISNUMBER(SEARCH(Skills!$B$11,AU48)))),1,0))</f>
        <v/>
      </c>
      <c r="BE48" s="23">
        <f>IF(AR48="","",IF(OR(TRIM(AL48&amp;"")&lt;&gt;"",AND(Skills!$B$12&lt;&gt;"",ISNUMBER(SEARCH(Skills!$B$12,AU48)))),1,0))</f>
        <v/>
      </c>
      <c r="BF48" s="23">
        <f>IF(AR48="","",IF(OR(TRIM(AM48&amp;"")&lt;&gt;"",AND(Skills!$B$13&lt;&gt;"",ISNUMBER(SEARCH(Skills!$B$13,AU48)))),1,0))</f>
        <v/>
      </c>
      <c r="BG48" s="23">
        <f>IF(AR48="","",IF(OR(TRIM(AN48&amp;"")&lt;&gt;"",AND(Skills!$B$14&lt;&gt;"",ISNUMBER(SEARCH(Skills!$B$14,AU48)))),1,0))</f>
        <v/>
      </c>
      <c r="BH48" s="23">
        <f>IF(AR48="","",IF(OR(TRIM(AO48&amp;"")&lt;&gt;"",AND(Skills!$B$15&lt;&gt;"",ISNUMBER(SEARCH(Skills!$B$15,AU48)))),1,0))</f>
        <v/>
      </c>
      <c r="BI48" s="23">
        <f>IF(AR48="","",IF(OR(TRIM(AP48&amp;"")&lt;&gt;"",AND(Skills!$B$16&lt;&gt;"",ISNUMBER(SEARCH(Skills!$B$16,AU48)))),1,0))</f>
        <v/>
      </c>
      <c r="BJ48" s="23">
        <f>IF(AR48="","",SUMPRODUCT($AX48:$BI48,Skills!$B$20:$M$20))</f>
        <v/>
      </c>
      <c r="BK48" s="23">
        <f>IF(AR48="","",BJ48*100000+(100000-ROW()))</f>
        <v/>
      </c>
      <c r="BL48" s="31">
        <f>IF(AR48="","",IF((IF(AND(AX48=1,Skills!$B$20=1),Skills!$B$5&amp;", ","")&amp;IF(AND(AY48=1,Skills!$C$20=1),Skills!$B$6&amp;", ","")&amp;IF(AND(AZ48=1,Skills!$D$20=1),Skills!$B$7&amp;", ","")&amp;IF(AND(BA48=1,Skills!$E$20=1),Skills!$B$8&amp;", ","")&amp;IF(AND(BB48=1,Skills!$F$20=1),Skills!$B$9&amp;", ","")&amp;IF(AND(BC48=1,Skills!$G$20=1),Skills!$B$10&amp;", ","")&amp;IF(AND(BD48=1,Skills!$H$20=1),Skills!$B$11&amp;", ","")&amp;IF(AND(BE48=1,Skills!$I$20=1),Skills!$B$12&amp;", ","")&amp;IF(AND(BF48=1,Skills!$J$20=1),Skills!$B$13&amp;", ","")&amp;IF(AND(BG48=1,Skills!$K$20=1),Skills!$B$14&amp;", ","")&amp;IF(AND(BH48=1,Skills!$L$20=1),Skills!$B$15&amp;", ","")&amp;IF(AND(BI48=1,Skills!$M$20=1),Skills!$B$16&amp;", ",""))="","",LEFT(IF(AND(AX48=1,Skills!$B$20=1),Skills!$B$5&amp;", ","")&amp;IF(AND(AY48=1,Skills!$C$20=1),Skills!$B$6&amp;", ","")&amp;IF(AND(AZ48=1,Skills!$D$20=1),Skills!$B$7&amp;", ","")&amp;IF(AND(BA48=1,Skills!$E$20=1),Skills!$B$8&amp;", ","")&amp;IF(AND(BB48=1,Skills!$F$20=1),Skills!$B$9&amp;", ","")&amp;IF(AND(BC48=1,Skills!$G$20=1),Skills!$B$10&amp;", ","")&amp;IF(AND(BD48=1,Skills!$H$20=1),Skills!$B$11&amp;", ","")&amp;IF(AND(BE48=1,Skills!$I$20=1),Skills!$B$12&amp;", ","")&amp;IF(AND(BF48=1,Skills!$J$20=1),Skills!$B$13&amp;", ","")&amp;IF(AND(BG48=1,Skills!$K$20=1),Skills!$B$14&amp;", ","")&amp;IF(AND(BH48=1,Skills!$L$20=1),Skills!$B$15&amp;", ","")&amp;IF(AND(BI48=1,Skills!$M$20=1),Skills!$B$16&amp;", ",""),LEN(IF(AND(AX48=1,Skills!$B$20=1),Skills!$B$5&amp;", ","")&amp;IF(AND(AY48=1,Skills!$C$20=1),Skills!$B$6&amp;", ","")&amp;IF(AND(AZ48=1,Skills!$D$20=1),Skills!$B$7&amp;", ","")&amp;IF(AND(BA48=1,Skills!$E$20=1),Skills!$B$8&amp;", ","")&amp;IF(AND(BB48=1,Skills!$F$20=1),Skills!$B$9&amp;", ","")&amp;IF(AND(BC48=1,Skills!$G$20=1),Skills!$B$10&amp;", ","")&amp;IF(AND(BD48=1,Skills!$H$20=1),Skills!$B$11&amp;", ","")&amp;IF(AND(BE48=1,Skills!$I$20=1),Skills!$B$12&amp;", ","")&amp;IF(AND(BF48=1,Skills!$J$20=1),Skills!$B$13&amp;", ","")&amp;IF(AND(BG48=1,Skills!$K$20=1),Skills!$B$14&amp;", ","")&amp;IF(AND(BH48=1,Skills!$L$20=1),Skills!$B$15&amp;", ","")&amp;IF(AND(BI48=1,Skills!$M$20=1),Skills!$B$16&amp;", ",""))-2)))</f>
        <v/>
      </c>
    </row>
    <row r="49">
      <c r="AD49" s="20" t="n"/>
      <c r="AE49" s="20" t="n"/>
      <c r="AF49" s="20" t="n"/>
      <c r="AG49" s="20" t="n"/>
      <c r="AH49" s="20" t="n"/>
      <c r="AI49" s="20" t="n"/>
      <c r="AJ49" s="20" t="n"/>
      <c r="AK49" s="20" t="n"/>
      <c r="AL49" s="20" t="n"/>
      <c r="AM49" s="20" t="n"/>
      <c r="AN49" s="20" t="n"/>
      <c r="AO49" s="20" t="n"/>
      <c r="AP49" s="20" t="n"/>
      <c r="AR49" s="31">
        <f>IF(IFERROR(TRIM(INDEX($A49:$AB49,MATCH(Lists!$B$5,$A$1:$AB$1,0))&amp;""),"")&lt;&gt;"",IFERROR(TRIM(INDEX($A49:$AB49,MATCH(Lists!$B$5,$A$1:$AB$1,0))&amp;""),""),IFERROR(TRIM(INDEX($A49:$AB49,MATCH(Lists!$B$3,$A$1:$AB$1,0))&amp;""),""))</f>
        <v/>
      </c>
      <c r="AS49" s="31">
        <f>IF(AR49="","",IF(IFERROR(TRIM(INDEX($A49:$AB49,MATCH(Lists!$B$5,$A$1:$AB$1,0))&amp;""),"")&lt;&gt;"","Nominated","Applied"))</f>
        <v/>
      </c>
      <c r="AT49" s="31">
        <f>IF(AR49="","",IF(IFERROR(TRIM(INDEX($A49:$AB49,MATCH(Lists!$B$5,$A$1:$AB$1,0))&amp;""),"")&lt;&gt;"",IFERROR(TRIM(INDEX($A49:$AB49,MATCH(Lists!$B$6,$A$1:$AB$1,0))&amp;""),""),IFERROR(TRIM(INDEX($A49:$AB49,MATCH(Lists!$B$4,$A$1:$AB$1,0))&amp;""),"")))</f>
        <v/>
      </c>
      <c r="AU49" s="31">
        <f>IF(AR49="","",IFERROR(TRIM(INDEX($A49:$AB49,MATCH(Lists!$B$7,$A$1:$AB$1,0))&amp;""),""))</f>
        <v/>
      </c>
      <c r="AV49" s="31">
        <f>IF(AR49="","",IFERROR(TRIM(INDEX($A49:$AB49,MATCH(Lists!$B$9,$A$1:$AB$1,0))&amp;""),""))</f>
        <v/>
      </c>
      <c r="AW49" s="31">
        <f>IF(AR49="","",IFERROR(TRIM(INDEX($A49:$AB49,MATCH(Lists!$B$8,$A$1:$AB$1,0))&amp;""),""))</f>
        <v/>
      </c>
      <c r="AX49" s="23">
        <f>IF(AR49="","",IF(OR(TRIM(AE49&amp;"")&lt;&gt;"",AND(Skills!$B$5&lt;&gt;"",ISNUMBER(SEARCH(Skills!$B$5,AU49)))),1,0))</f>
        <v/>
      </c>
      <c r="AY49" s="23">
        <f>IF(AR49="","",IF(OR(TRIM(AF49&amp;"")&lt;&gt;"",AND(Skills!$B$6&lt;&gt;"",ISNUMBER(SEARCH(Skills!$B$6,AU49)))),1,0))</f>
        <v/>
      </c>
      <c r="AZ49" s="23">
        <f>IF(AR49="","",IF(OR(TRIM(AG49&amp;"")&lt;&gt;"",AND(Skills!$B$7&lt;&gt;"",ISNUMBER(SEARCH(Skills!$B$7,AU49)))),1,0))</f>
        <v/>
      </c>
      <c r="BA49" s="23">
        <f>IF(AR49="","",IF(OR(TRIM(AH49&amp;"")&lt;&gt;"",AND(Skills!$B$8&lt;&gt;"",ISNUMBER(SEARCH(Skills!$B$8,AU49)))),1,0))</f>
        <v/>
      </c>
      <c r="BB49" s="23">
        <f>IF(AR49="","",IF(OR(TRIM(AI49&amp;"")&lt;&gt;"",AND(Skills!$B$9&lt;&gt;"",ISNUMBER(SEARCH(Skills!$B$9,AU49)))),1,0))</f>
        <v/>
      </c>
      <c r="BC49" s="23">
        <f>IF(AR49="","",IF(OR(TRIM(AJ49&amp;"")&lt;&gt;"",AND(Skills!$B$10&lt;&gt;"",ISNUMBER(SEARCH(Skills!$B$10,AU49)))),1,0))</f>
        <v/>
      </c>
      <c r="BD49" s="23">
        <f>IF(AR49="","",IF(OR(TRIM(AK49&amp;"")&lt;&gt;"",AND(Skills!$B$11&lt;&gt;"",ISNUMBER(SEARCH(Skills!$B$11,AU49)))),1,0))</f>
        <v/>
      </c>
      <c r="BE49" s="23">
        <f>IF(AR49="","",IF(OR(TRIM(AL49&amp;"")&lt;&gt;"",AND(Skills!$B$12&lt;&gt;"",ISNUMBER(SEARCH(Skills!$B$12,AU49)))),1,0))</f>
        <v/>
      </c>
      <c r="BF49" s="23">
        <f>IF(AR49="","",IF(OR(TRIM(AM49&amp;"")&lt;&gt;"",AND(Skills!$B$13&lt;&gt;"",ISNUMBER(SEARCH(Skills!$B$13,AU49)))),1,0))</f>
        <v/>
      </c>
      <c r="BG49" s="23">
        <f>IF(AR49="","",IF(OR(TRIM(AN49&amp;"")&lt;&gt;"",AND(Skills!$B$14&lt;&gt;"",ISNUMBER(SEARCH(Skills!$B$14,AU49)))),1,0))</f>
        <v/>
      </c>
      <c r="BH49" s="23">
        <f>IF(AR49="","",IF(OR(TRIM(AO49&amp;"")&lt;&gt;"",AND(Skills!$B$15&lt;&gt;"",ISNUMBER(SEARCH(Skills!$B$15,AU49)))),1,0))</f>
        <v/>
      </c>
      <c r="BI49" s="23">
        <f>IF(AR49="","",IF(OR(TRIM(AP49&amp;"")&lt;&gt;"",AND(Skills!$B$16&lt;&gt;"",ISNUMBER(SEARCH(Skills!$B$16,AU49)))),1,0))</f>
        <v/>
      </c>
      <c r="BJ49" s="23">
        <f>IF(AR49="","",SUMPRODUCT($AX49:$BI49,Skills!$B$20:$M$20))</f>
        <v/>
      </c>
      <c r="BK49" s="23">
        <f>IF(AR49="","",BJ49*100000+(100000-ROW()))</f>
        <v/>
      </c>
      <c r="BL49" s="31">
        <f>IF(AR49="","",IF((IF(AND(AX49=1,Skills!$B$20=1),Skills!$B$5&amp;", ","")&amp;IF(AND(AY49=1,Skills!$C$20=1),Skills!$B$6&amp;", ","")&amp;IF(AND(AZ49=1,Skills!$D$20=1),Skills!$B$7&amp;", ","")&amp;IF(AND(BA49=1,Skills!$E$20=1),Skills!$B$8&amp;", ","")&amp;IF(AND(BB49=1,Skills!$F$20=1),Skills!$B$9&amp;", ","")&amp;IF(AND(BC49=1,Skills!$G$20=1),Skills!$B$10&amp;", ","")&amp;IF(AND(BD49=1,Skills!$H$20=1),Skills!$B$11&amp;", ","")&amp;IF(AND(BE49=1,Skills!$I$20=1),Skills!$B$12&amp;", ","")&amp;IF(AND(BF49=1,Skills!$J$20=1),Skills!$B$13&amp;", ","")&amp;IF(AND(BG49=1,Skills!$K$20=1),Skills!$B$14&amp;", ","")&amp;IF(AND(BH49=1,Skills!$L$20=1),Skills!$B$15&amp;", ","")&amp;IF(AND(BI49=1,Skills!$M$20=1),Skills!$B$16&amp;", ",""))="","",LEFT(IF(AND(AX49=1,Skills!$B$20=1),Skills!$B$5&amp;", ","")&amp;IF(AND(AY49=1,Skills!$C$20=1),Skills!$B$6&amp;", ","")&amp;IF(AND(AZ49=1,Skills!$D$20=1),Skills!$B$7&amp;", ","")&amp;IF(AND(BA49=1,Skills!$E$20=1),Skills!$B$8&amp;", ","")&amp;IF(AND(BB49=1,Skills!$F$20=1),Skills!$B$9&amp;", ","")&amp;IF(AND(BC49=1,Skills!$G$20=1),Skills!$B$10&amp;", ","")&amp;IF(AND(BD49=1,Skills!$H$20=1),Skills!$B$11&amp;", ","")&amp;IF(AND(BE49=1,Skills!$I$20=1),Skills!$B$12&amp;", ","")&amp;IF(AND(BF49=1,Skills!$J$20=1),Skills!$B$13&amp;", ","")&amp;IF(AND(BG49=1,Skills!$K$20=1),Skills!$B$14&amp;", ","")&amp;IF(AND(BH49=1,Skills!$L$20=1),Skills!$B$15&amp;", ","")&amp;IF(AND(BI49=1,Skills!$M$20=1),Skills!$B$16&amp;", ",""),LEN(IF(AND(AX49=1,Skills!$B$20=1),Skills!$B$5&amp;", ","")&amp;IF(AND(AY49=1,Skills!$C$20=1),Skills!$B$6&amp;", ","")&amp;IF(AND(AZ49=1,Skills!$D$20=1),Skills!$B$7&amp;", ","")&amp;IF(AND(BA49=1,Skills!$E$20=1),Skills!$B$8&amp;", ","")&amp;IF(AND(BB49=1,Skills!$F$20=1),Skills!$B$9&amp;", ","")&amp;IF(AND(BC49=1,Skills!$G$20=1),Skills!$B$10&amp;", ","")&amp;IF(AND(BD49=1,Skills!$H$20=1),Skills!$B$11&amp;", ","")&amp;IF(AND(BE49=1,Skills!$I$20=1),Skills!$B$12&amp;", ","")&amp;IF(AND(BF49=1,Skills!$J$20=1),Skills!$B$13&amp;", ","")&amp;IF(AND(BG49=1,Skills!$K$20=1),Skills!$B$14&amp;", ","")&amp;IF(AND(BH49=1,Skills!$L$20=1),Skills!$B$15&amp;", ","")&amp;IF(AND(BI49=1,Skills!$M$20=1),Skills!$B$16&amp;", ",""))-2)))</f>
        <v/>
      </c>
    </row>
    <row r="50">
      <c r="AD50" s="20" t="n"/>
      <c r="AE50" s="20" t="n"/>
      <c r="AF50" s="20" t="n"/>
      <c r="AG50" s="20" t="n"/>
      <c r="AH50" s="20" t="n"/>
      <c r="AI50" s="20" t="n"/>
      <c r="AJ50" s="20" t="n"/>
      <c r="AK50" s="20" t="n"/>
      <c r="AL50" s="20" t="n"/>
      <c r="AM50" s="20" t="n"/>
      <c r="AN50" s="20" t="n"/>
      <c r="AO50" s="20" t="n"/>
      <c r="AP50" s="20" t="n"/>
      <c r="AR50" s="31">
        <f>IF(IFERROR(TRIM(INDEX($A50:$AB50,MATCH(Lists!$B$5,$A$1:$AB$1,0))&amp;""),"")&lt;&gt;"",IFERROR(TRIM(INDEX($A50:$AB50,MATCH(Lists!$B$5,$A$1:$AB$1,0))&amp;""),""),IFERROR(TRIM(INDEX($A50:$AB50,MATCH(Lists!$B$3,$A$1:$AB$1,0))&amp;""),""))</f>
        <v/>
      </c>
      <c r="AS50" s="31">
        <f>IF(AR50="","",IF(IFERROR(TRIM(INDEX($A50:$AB50,MATCH(Lists!$B$5,$A$1:$AB$1,0))&amp;""),"")&lt;&gt;"","Nominated","Applied"))</f>
        <v/>
      </c>
      <c r="AT50" s="31">
        <f>IF(AR50="","",IF(IFERROR(TRIM(INDEX($A50:$AB50,MATCH(Lists!$B$5,$A$1:$AB$1,0))&amp;""),"")&lt;&gt;"",IFERROR(TRIM(INDEX($A50:$AB50,MATCH(Lists!$B$6,$A$1:$AB$1,0))&amp;""),""),IFERROR(TRIM(INDEX($A50:$AB50,MATCH(Lists!$B$4,$A$1:$AB$1,0))&amp;""),"")))</f>
        <v/>
      </c>
      <c r="AU50" s="31">
        <f>IF(AR50="","",IFERROR(TRIM(INDEX($A50:$AB50,MATCH(Lists!$B$7,$A$1:$AB$1,0))&amp;""),""))</f>
        <v/>
      </c>
      <c r="AV50" s="31">
        <f>IF(AR50="","",IFERROR(TRIM(INDEX($A50:$AB50,MATCH(Lists!$B$9,$A$1:$AB$1,0))&amp;""),""))</f>
        <v/>
      </c>
      <c r="AW50" s="31">
        <f>IF(AR50="","",IFERROR(TRIM(INDEX($A50:$AB50,MATCH(Lists!$B$8,$A$1:$AB$1,0))&amp;""),""))</f>
        <v/>
      </c>
      <c r="AX50" s="23">
        <f>IF(AR50="","",IF(OR(TRIM(AE50&amp;"")&lt;&gt;"",AND(Skills!$B$5&lt;&gt;"",ISNUMBER(SEARCH(Skills!$B$5,AU50)))),1,0))</f>
        <v/>
      </c>
      <c r="AY50" s="23">
        <f>IF(AR50="","",IF(OR(TRIM(AF50&amp;"")&lt;&gt;"",AND(Skills!$B$6&lt;&gt;"",ISNUMBER(SEARCH(Skills!$B$6,AU50)))),1,0))</f>
        <v/>
      </c>
      <c r="AZ50" s="23">
        <f>IF(AR50="","",IF(OR(TRIM(AG50&amp;"")&lt;&gt;"",AND(Skills!$B$7&lt;&gt;"",ISNUMBER(SEARCH(Skills!$B$7,AU50)))),1,0))</f>
        <v/>
      </c>
      <c r="BA50" s="23">
        <f>IF(AR50="","",IF(OR(TRIM(AH50&amp;"")&lt;&gt;"",AND(Skills!$B$8&lt;&gt;"",ISNUMBER(SEARCH(Skills!$B$8,AU50)))),1,0))</f>
        <v/>
      </c>
      <c r="BB50" s="23">
        <f>IF(AR50="","",IF(OR(TRIM(AI50&amp;"")&lt;&gt;"",AND(Skills!$B$9&lt;&gt;"",ISNUMBER(SEARCH(Skills!$B$9,AU50)))),1,0))</f>
        <v/>
      </c>
      <c r="BC50" s="23">
        <f>IF(AR50="","",IF(OR(TRIM(AJ50&amp;"")&lt;&gt;"",AND(Skills!$B$10&lt;&gt;"",ISNUMBER(SEARCH(Skills!$B$10,AU50)))),1,0))</f>
        <v/>
      </c>
      <c r="BD50" s="23">
        <f>IF(AR50="","",IF(OR(TRIM(AK50&amp;"")&lt;&gt;"",AND(Skills!$B$11&lt;&gt;"",ISNUMBER(SEARCH(Skills!$B$11,AU50)))),1,0))</f>
        <v/>
      </c>
      <c r="BE50" s="23">
        <f>IF(AR50="","",IF(OR(TRIM(AL50&amp;"")&lt;&gt;"",AND(Skills!$B$12&lt;&gt;"",ISNUMBER(SEARCH(Skills!$B$12,AU50)))),1,0))</f>
        <v/>
      </c>
      <c r="BF50" s="23">
        <f>IF(AR50="","",IF(OR(TRIM(AM50&amp;"")&lt;&gt;"",AND(Skills!$B$13&lt;&gt;"",ISNUMBER(SEARCH(Skills!$B$13,AU50)))),1,0))</f>
        <v/>
      </c>
      <c r="BG50" s="23">
        <f>IF(AR50="","",IF(OR(TRIM(AN50&amp;"")&lt;&gt;"",AND(Skills!$B$14&lt;&gt;"",ISNUMBER(SEARCH(Skills!$B$14,AU50)))),1,0))</f>
        <v/>
      </c>
      <c r="BH50" s="23">
        <f>IF(AR50="","",IF(OR(TRIM(AO50&amp;"")&lt;&gt;"",AND(Skills!$B$15&lt;&gt;"",ISNUMBER(SEARCH(Skills!$B$15,AU50)))),1,0))</f>
        <v/>
      </c>
      <c r="BI50" s="23">
        <f>IF(AR50="","",IF(OR(TRIM(AP50&amp;"")&lt;&gt;"",AND(Skills!$B$16&lt;&gt;"",ISNUMBER(SEARCH(Skills!$B$16,AU50)))),1,0))</f>
        <v/>
      </c>
      <c r="BJ50" s="23">
        <f>IF(AR50="","",SUMPRODUCT($AX50:$BI50,Skills!$B$20:$M$20))</f>
        <v/>
      </c>
      <c r="BK50" s="23">
        <f>IF(AR50="","",BJ50*100000+(100000-ROW()))</f>
        <v/>
      </c>
      <c r="BL50" s="31">
        <f>IF(AR50="","",IF((IF(AND(AX50=1,Skills!$B$20=1),Skills!$B$5&amp;", ","")&amp;IF(AND(AY50=1,Skills!$C$20=1),Skills!$B$6&amp;", ","")&amp;IF(AND(AZ50=1,Skills!$D$20=1),Skills!$B$7&amp;", ","")&amp;IF(AND(BA50=1,Skills!$E$20=1),Skills!$B$8&amp;", ","")&amp;IF(AND(BB50=1,Skills!$F$20=1),Skills!$B$9&amp;", ","")&amp;IF(AND(BC50=1,Skills!$G$20=1),Skills!$B$10&amp;", ","")&amp;IF(AND(BD50=1,Skills!$H$20=1),Skills!$B$11&amp;", ","")&amp;IF(AND(BE50=1,Skills!$I$20=1),Skills!$B$12&amp;", ","")&amp;IF(AND(BF50=1,Skills!$J$20=1),Skills!$B$13&amp;", ","")&amp;IF(AND(BG50=1,Skills!$K$20=1),Skills!$B$14&amp;", ","")&amp;IF(AND(BH50=1,Skills!$L$20=1),Skills!$B$15&amp;", ","")&amp;IF(AND(BI50=1,Skills!$M$20=1),Skills!$B$16&amp;", ",""))="","",LEFT(IF(AND(AX50=1,Skills!$B$20=1),Skills!$B$5&amp;", ","")&amp;IF(AND(AY50=1,Skills!$C$20=1),Skills!$B$6&amp;", ","")&amp;IF(AND(AZ50=1,Skills!$D$20=1),Skills!$B$7&amp;", ","")&amp;IF(AND(BA50=1,Skills!$E$20=1),Skills!$B$8&amp;", ","")&amp;IF(AND(BB50=1,Skills!$F$20=1),Skills!$B$9&amp;", ","")&amp;IF(AND(BC50=1,Skills!$G$20=1),Skills!$B$10&amp;", ","")&amp;IF(AND(BD50=1,Skills!$H$20=1),Skills!$B$11&amp;", ","")&amp;IF(AND(BE50=1,Skills!$I$20=1),Skills!$B$12&amp;", ","")&amp;IF(AND(BF50=1,Skills!$J$20=1),Skills!$B$13&amp;", ","")&amp;IF(AND(BG50=1,Skills!$K$20=1),Skills!$B$14&amp;", ","")&amp;IF(AND(BH50=1,Skills!$L$20=1),Skills!$B$15&amp;", ","")&amp;IF(AND(BI50=1,Skills!$M$20=1),Skills!$B$16&amp;", ",""),LEN(IF(AND(AX50=1,Skills!$B$20=1),Skills!$B$5&amp;", ","")&amp;IF(AND(AY50=1,Skills!$C$20=1),Skills!$B$6&amp;", ","")&amp;IF(AND(AZ50=1,Skills!$D$20=1),Skills!$B$7&amp;", ","")&amp;IF(AND(BA50=1,Skills!$E$20=1),Skills!$B$8&amp;", ","")&amp;IF(AND(BB50=1,Skills!$F$20=1),Skills!$B$9&amp;", ","")&amp;IF(AND(BC50=1,Skills!$G$20=1),Skills!$B$10&amp;", ","")&amp;IF(AND(BD50=1,Skills!$H$20=1),Skills!$B$11&amp;", ","")&amp;IF(AND(BE50=1,Skills!$I$20=1),Skills!$B$12&amp;", ","")&amp;IF(AND(BF50=1,Skills!$J$20=1),Skills!$B$13&amp;", ","")&amp;IF(AND(BG50=1,Skills!$K$20=1),Skills!$B$14&amp;", ","")&amp;IF(AND(BH50=1,Skills!$L$20=1),Skills!$B$15&amp;", ","")&amp;IF(AND(BI50=1,Skills!$M$20=1),Skills!$B$16&amp;", ",""))-2)))</f>
        <v/>
      </c>
    </row>
    <row r="51">
      <c r="AD51" s="20" t="n"/>
      <c r="AE51" s="20" t="n"/>
      <c r="AF51" s="20" t="n"/>
      <c r="AG51" s="20" t="n"/>
      <c r="AH51" s="20" t="n"/>
      <c r="AI51" s="20" t="n"/>
      <c r="AJ51" s="20" t="n"/>
      <c r="AK51" s="20" t="n"/>
      <c r="AL51" s="20" t="n"/>
      <c r="AM51" s="20" t="n"/>
      <c r="AN51" s="20" t="n"/>
      <c r="AO51" s="20" t="n"/>
      <c r="AP51" s="20" t="n"/>
      <c r="AR51" s="31">
        <f>IF(IFERROR(TRIM(INDEX($A51:$AB51,MATCH(Lists!$B$5,$A$1:$AB$1,0))&amp;""),"")&lt;&gt;"",IFERROR(TRIM(INDEX($A51:$AB51,MATCH(Lists!$B$5,$A$1:$AB$1,0))&amp;""),""),IFERROR(TRIM(INDEX($A51:$AB51,MATCH(Lists!$B$3,$A$1:$AB$1,0))&amp;""),""))</f>
        <v/>
      </c>
      <c r="AS51" s="31">
        <f>IF(AR51="","",IF(IFERROR(TRIM(INDEX($A51:$AB51,MATCH(Lists!$B$5,$A$1:$AB$1,0))&amp;""),"")&lt;&gt;"","Nominated","Applied"))</f>
        <v/>
      </c>
      <c r="AT51" s="31">
        <f>IF(AR51="","",IF(IFERROR(TRIM(INDEX($A51:$AB51,MATCH(Lists!$B$5,$A$1:$AB$1,0))&amp;""),"")&lt;&gt;"",IFERROR(TRIM(INDEX($A51:$AB51,MATCH(Lists!$B$6,$A$1:$AB$1,0))&amp;""),""),IFERROR(TRIM(INDEX($A51:$AB51,MATCH(Lists!$B$4,$A$1:$AB$1,0))&amp;""),"")))</f>
        <v/>
      </c>
      <c r="AU51" s="31">
        <f>IF(AR51="","",IFERROR(TRIM(INDEX($A51:$AB51,MATCH(Lists!$B$7,$A$1:$AB$1,0))&amp;""),""))</f>
        <v/>
      </c>
      <c r="AV51" s="31">
        <f>IF(AR51="","",IFERROR(TRIM(INDEX($A51:$AB51,MATCH(Lists!$B$9,$A$1:$AB$1,0))&amp;""),""))</f>
        <v/>
      </c>
      <c r="AW51" s="31">
        <f>IF(AR51="","",IFERROR(TRIM(INDEX($A51:$AB51,MATCH(Lists!$B$8,$A$1:$AB$1,0))&amp;""),""))</f>
        <v/>
      </c>
      <c r="AX51" s="23">
        <f>IF(AR51="","",IF(OR(TRIM(AE51&amp;"")&lt;&gt;"",AND(Skills!$B$5&lt;&gt;"",ISNUMBER(SEARCH(Skills!$B$5,AU51)))),1,0))</f>
        <v/>
      </c>
      <c r="AY51" s="23">
        <f>IF(AR51="","",IF(OR(TRIM(AF51&amp;"")&lt;&gt;"",AND(Skills!$B$6&lt;&gt;"",ISNUMBER(SEARCH(Skills!$B$6,AU51)))),1,0))</f>
        <v/>
      </c>
      <c r="AZ51" s="23">
        <f>IF(AR51="","",IF(OR(TRIM(AG51&amp;"")&lt;&gt;"",AND(Skills!$B$7&lt;&gt;"",ISNUMBER(SEARCH(Skills!$B$7,AU51)))),1,0))</f>
        <v/>
      </c>
      <c r="BA51" s="23">
        <f>IF(AR51="","",IF(OR(TRIM(AH51&amp;"")&lt;&gt;"",AND(Skills!$B$8&lt;&gt;"",ISNUMBER(SEARCH(Skills!$B$8,AU51)))),1,0))</f>
        <v/>
      </c>
      <c r="BB51" s="23">
        <f>IF(AR51="","",IF(OR(TRIM(AI51&amp;"")&lt;&gt;"",AND(Skills!$B$9&lt;&gt;"",ISNUMBER(SEARCH(Skills!$B$9,AU51)))),1,0))</f>
        <v/>
      </c>
      <c r="BC51" s="23">
        <f>IF(AR51="","",IF(OR(TRIM(AJ51&amp;"")&lt;&gt;"",AND(Skills!$B$10&lt;&gt;"",ISNUMBER(SEARCH(Skills!$B$10,AU51)))),1,0))</f>
        <v/>
      </c>
      <c r="BD51" s="23">
        <f>IF(AR51="","",IF(OR(TRIM(AK51&amp;"")&lt;&gt;"",AND(Skills!$B$11&lt;&gt;"",ISNUMBER(SEARCH(Skills!$B$11,AU51)))),1,0))</f>
        <v/>
      </c>
      <c r="BE51" s="23">
        <f>IF(AR51="","",IF(OR(TRIM(AL51&amp;"")&lt;&gt;"",AND(Skills!$B$12&lt;&gt;"",ISNUMBER(SEARCH(Skills!$B$12,AU51)))),1,0))</f>
        <v/>
      </c>
      <c r="BF51" s="23">
        <f>IF(AR51="","",IF(OR(TRIM(AM51&amp;"")&lt;&gt;"",AND(Skills!$B$13&lt;&gt;"",ISNUMBER(SEARCH(Skills!$B$13,AU51)))),1,0))</f>
        <v/>
      </c>
      <c r="BG51" s="23">
        <f>IF(AR51="","",IF(OR(TRIM(AN51&amp;"")&lt;&gt;"",AND(Skills!$B$14&lt;&gt;"",ISNUMBER(SEARCH(Skills!$B$14,AU51)))),1,0))</f>
        <v/>
      </c>
      <c r="BH51" s="23">
        <f>IF(AR51="","",IF(OR(TRIM(AO51&amp;"")&lt;&gt;"",AND(Skills!$B$15&lt;&gt;"",ISNUMBER(SEARCH(Skills!$B$15,AU51)))),1,0))</f>
        <v/>
      </c>
      <c r="BI51" s="23">
        <f>IF(AR51="","",IF(OR(TRIM(AP51&amp;"")&lt;&gt;"",AND(Skills!$B$16&lt;&gt;"",ISNUMBER(SEARCH(Skills!$B$16,AU51)))),1,0))</f>
        <v/>
      </c>
      <c r="BJ51" s="23">
        <f>IF(AR51="","",SUMPRODUCT($AX51:$BI51,Skills!$B$20:$M$20))</f>
        <v/>
      </c>
      <c r="BK51" s="23">
        <f>IF(AR51="","",BJ51*100000+(100000-ROW()))</f>
        <v/>
      </c>
      <c r="BL51" s="31">
        <f>IF(AR51="","",IF((IF(AND(AX51=1,Skills!$B$20=1),Skills!$B$5&amp;", ","")&amp;IF(AND(AY51=1,Skills!$C$20=1),Skills!$B$6&amp;", ","")&amp;IF(AND(AZ51=1,Skills!$D$20=1),Skills!$B$7&amp;", ","")&amp;IF(AND(BA51=1,Skills!$E$20=1),Skills!$B$8&amp;", ","")&amp;IF(AND(BB51=1,Skills!$F$20=1),Skills!$B$9&amp;", ","")&amp;IF(AND(BC51=1,Skills!$G$20=1),Skills!$B$10&amp;", ","")&amp;IF(AND(BD51=1,Skills!$H$20=1),Skills!$B$11&amp;", ","")&amp;IF(AND(BE51=1,Skills!$I$20=1),Skills!$B$12&amp;", ","")&amp;IF(AND(BF51=1,Skills!$J$20=1),Skills!$B$13&amp;", ","")&amp;IF(AND(BG51=1,Skills!$K$20=1),Skills!$B$14&amp;", ","")&amp;IF(AND(BH51=1,Skills!$L$20=1),Skills!$B$15&amp;", ","")&amp;IF(AND(BI51=1,Skills!$M$20=1),Skills!$B$16&amp;", ",""))="","",LEFT(IF(AND(AX51=1,Skills!$B$20=1),Skills!$B$5&amp;", ","")&amp;IF(AND(AY51=1,Skills!$C$20=1),Skills!$B$6&amp;", ","")&amp;IF(AND(AZ51=1,Skills!$D$20=1),Skills!$B$7&amp;", ","")&amp;IF(AND(BA51=1,Skills!$E$20=1),Skills!$B$8&amp;", ","")&amp;IF(AND(BB51=1,Skills!$F$20=1),Skills!$B$9&amp;", ","")&amp;IF(AND(BC51=1,Skills!$G$20=1),Skills!$B$10&amp;", ","")&amp;IF(AND(BD51=1,Skills!$H$20=1),Skills!$B$11&amp;", ","")&amp;IF(AND(BE51=1,Skills!$I$20=1),Skills!$B$12&amp;", ","")&amp;IF(AND(BF51=1,Skills!$J$20=1),Skills!$B$13&amp;", ","")&amp;IF(AND(BG51=1,Skills!$K$20=1),Skills!$B$14&amp;", ","")&amp;IF(AND(BH51=1,Skills!$L$20=1),Skills!$B$15&amp;", ","")&amp;IF(AND(BI51=1,Skills!$M$20=1),Skills!$B$16&amp;", ",""),LEN(IF(AND(AX51=1,Skills!$B$20=1),Skills!$B$5&amp;", ","")&amp;IF(AND(AY51=1,Skills!$C$20=1),Skills!$B$6&amp;", ","")&amp;IF(AND(AZ51=1,Skills!$D$20=1),Skills!$B$7&amp;", ","")&amp;IF(AND(BA51=1,Skills!$E$20=1),Skills!$B$8&amp;", ","")&amp;IF(AND(BB51=1,Skills!$F$20=1),Skills!$B$9&amp;", ","")&amp;IF(AND(BC51=1,Skills!$G$20=1),Skills!$B$10&amp;", ","")&amp;IF(AND(BD51=1,Skills!$H$20=1),Skills!$B$11&amp;", ","")&amp;IF(AND(BE51=1,Skills!$I$20=1),Skills!$B$12&amp;", ","")&amp;IF(AND(BF51=1,Skills!$J$20=1),Skills!$B$13&amp;", ","")&amp;IF(AND(BG51=1,Skills!$K$20=1),Skills!$B$14&amp;", ","")&amp;IF(AND(BH51=1,Skills!$L$20=1),Skills!$B$15&amp;", ","")&amp;IF(AND(BI51=1,Skills!$M$20=1),Skills!$B$16&amp;", ",""))-2)))</f>
        <v/>
      </c>
    </row>
    <row r="52">
      <c r="AD52" s="20" t="n"/>
      <c r="AE52" s="20" t="n"/>
      <c r="AF52" s="20" t="n"/>
      <c r="AG52" s="20" t="n"/>
      <c r="AH52" s="20" t="n"/>
      <c r="AI52" s="20" t="n"/>
      <c r="AJ52" s="20" t="n"/>
      <c r="AK52" s="20" t="n"/>
      <c r="AL52" s="20" t="n"/>
      <c r="AM52" s="20" t="n"/>
      <c r="AN52" s="20" t="n"/>
      <c r="AO52" s="20" t="n"/>
      <c r="AP52" s="20" t="n"/>
      <c r="AR52" s="31">
        <f>IF(IFERROR(TRIM(INDEX($A52:$AB52,MATCH(Lists!$B$5,$A$1:$AB$1,0))&amp;""),"")&lt;&gt;"",IFERROR(TRIM(INDEX($A52:$AB52,MATCH(Lists!$B$5,$A$1:$AB$1,0))&amp;""),""),IFERROR(TRIM(INDEX($A52:$AB52,MATCH(Lists!$B$3,$A$1:$AB$1,0))&amp;""),""))</f>
        <v/>
      </c>
      <c r="AS52" s="31">
        <f>IF(AR52="","",IF(IFERROR(TRIM(INDEX($A52:$AB52,MATCH(Lists!$B$5,$A$1:$AB$1,0))&amp;""),"")&lt;&gt;"","Nominated","Applied"))</f>
        <v/>
      </c>
      <c r="AT52" s="31">
        <f>IF(AR52="","",IF(IFERROR(TRIM(INDEX($A52:$AB52,MATCH(Lists!$B$5,$A$1:$AB$1,0))&amp;""),"")&lt;&gt;"",IFERROR(TRIM(INDEX($A52:$AB52,MATCH(Lists!$B$6,$A$1:$AB$1,0))&amp;""),""),IFERROR(TRIM(INDEX($A52:$AB52,MATCH(Lists!$B$4,$A$1:$AB$1,0))&amp;""),"")))</f>
        <v/>
      </c>
      <c r="AU52" s="31">
        <f>IF(AR52="","",IFERROR(TRIM(INDEX($A52:$AB52,MATCH(Lists!$B$7,$A$1:$AB$1,0))&amp;""),""))</f>
        <v/>
      </c>
      <c r="AV52" s="31">
        <f>IF(AR52="","",IFERROR(TRIM(INDEX($A52:$AB52,MATCH(Lists!$B$9,$A$1:$AB$1,0))&amp;""),""))</f>
        <v/>
      </c>
      <c r="AW52" s="31">
        <f>IF(AR52="","",IFERROR(TRIM(INDEX($A52:$AB52,MATCH(Lists!$B$8,$A$1:$AB$1,0))&amp;""),""))</f>
        <v/>
      </c>
      <c r="AX52" s="23">
        <f>IF(AR52="","",IF(OR(TRIM(AE52&amp;"")&lt;&gt;"",AND(Skills!$B$5&lt;&gt;"",ISNUMBER(SEARCH(Skills!$B$5,AU52)))),1,0))</f>
        <v/>
      </c>
      <c r="AY52" s="23">
        <f>IF(AR52="","",IF(OR(TRIM(AF52&amp;"")&lt;&gt;"",AND(Skills!$B$6&lt;&gt;"",ISNUMBER(SEARCH(Skills!$B$6,AU52)))),1,0))</f>
        <v/>
      </c>
      <c r="AZ52" s="23">
        <f>IF(AR52="","",IF(OR(TRIM(AG52&amp;"")&lt;&gt;"",AND(Skills!$B$7&lt;&gt;"",ISNUMBER(SEARCH(Skills!$B$7,AU52)))),1,0))</f>
        <v/>
      </c>
      <c r="BA52" s="23">
        <f>IF(AR52="","",IF(OR(TRIM(AH52&amp;"")&lt;&gt;"",AND(Skills!$B$8&lt;&gt;"",ISNUMBER(SEARCH(Skills!$B$8,AU52)))),1,0))</f>
        <v/>
      </c>
      <c r="BB52" s="23">
        <f>IF(AR52="","",IF(OR(TRIM(AI52&amp;"")&lt;&gt;"",AND(Skills!$B$9&lt;&gt;"",ISNUMBER(SEARCH(Skills!$B$9,AU52)))),1,0))</f>
        <v/>
      </c>
      <c r="BC52" s="23">
        <f>IF(AR52="","",IF(OR(TRIM(AJ52&amp;"")&lt;&gt;"",AND(Skills!$B$10&lt;&gt;"",ISNUMBER(SEARCH(Skills!$B$10,AU52)))),1,0))</f>
        <v/>
      </c>
      <c r="BD52" s="23">
        <f>IF(AR52="","",IF(OR(TRIM(AK52&amp;"")&lt;&gt;"",AND(Skills!$B$11&lt;&gt;"",ISNUMBER(SEARCH(Skills!$B$11,AU52)))),1,0))</f>
        <v/>
      </c>
      <c r="BE52" s="23">
        <f>IF(AR52="","",IF(OR(TRIM(AL52&amp;"")&lt;&gt;"",AND(Skills!$B$12&lt;&gt;"",ISNUMBER(SEARCH(Skills!$B$12,AU52)))),1,0))</f>
        <v/>
      </c>
      <c r="BF52" s="23">
        <f>IF(AR52="","",IF(OR(TRIM(AM52&amp;"")&lt;&gt;"",AND(Skills!$B$13&lt;&gt;"",ISNUMBER(SEARCH(Skills!$B$13,AU52)))),1,0))</f>
        <v/>
      </c>
      <c r="BG52" s="23">
        <f>IF(AR52="","",IF(OR(TRIM(AN52&amp;"")&lt;&gt;"",AND(Skills!$B$14&lt;&gt;"",ISNUMBER(SEARCH(Skills!$B$14,AU52)))),1,0))</f>
        <v/>
      </c>
      <c r="BH52" s="23">
        <f>IF(AR52="","",IF(OR(TRIM(AO52&amp;"")&lt;&gt;"",AND(Skills!$B$15&lt;&gt;"",ISNUMBER(SEARCH(Skills!$B$15,AU52)))),1,0))</f>
        <v/>
      </c>
      <c r="BI52" s="23">
        <f>IF(AR52="","",IF(OR(TRIM(AP52&amp;"")&lt;&gt;"",AND(Skills!$B$16&lt;&gt;"",ISNUMBER(SEARCH(Skills!$B$16,AU52)))),1,0))</f>
        <v/>
      </c>
      <c r="BJ52" s="23">
        <f>IF(AR52="","",SUMPRODUCT($AX52:$BI52,Skills!$B$20:$M$20))</f>
        <v/>
      </c>
      <c r="BK52" s="23">
        <f>IF(AR52="","",BJ52*100000+(100000-ROW()))</f>
        <v/>
      </c>
      <c r="BL52" s="31">
        <f>IF(AR52="","",IF((IF(AND(AX52=1,Skills!$B$20=1),Skills!$B$5&amp;", ","")&amp;IF(AND(AY52=1,Skills!$C$20=1),Skills!$B$6&amp;", ","")&amp;IF(AND(AZ52=1,Skills!$D$20=1),Skills!$B$7&amp;", ","")&amp;IF(AND(BA52=1,Skills!$E$20=1),Skills!$B$8&amp;", ","")&amp;IF(AND(BB52=1,Skills!$F$20=1),Skills!$B$9&amp;", ","")&amp;IF(AND(BC52=1,Skills!$G$20=1),Skills!$B$10&amp;", ","")&amp;IF(AND(BD52=1,Skills!$H$20=1),Skills!$B$11&amp;", ","")&amp;IF(AND(BE52=1,Skills!$I$20=1),Skills!$B$12&amp;", ","")&amp;IF(AND(BF52=1,Skills!$J$20=1),Skills!$B$13&amp;", ","")&amp;IF(AND(BG52=1,Skills!$K$20=1),Skills!$B$14&amp;", ","")&amp;IF(AND(BH52=1,Skills!$L$20=1),Skills!$B$15&amp;", ","")&amp;IF(AND(BI52=1,Skills!$M$20=1),Skills!$B$16&amp;", ",""))="","",LEFT(IF(AND(AX52=1,Skills!$B$20=1),Skills!$B$5&amp;", ","")&amp;IF(AND(AY52=1,Skills!$C$20=1),Skills!$B$6&amp;", ","")&amp;IF(AND(AZ52=1,Skills!$D$20=1),Skills!$B$7&amp;", ","")&amp;IF(AND(BA52=1,Skills!$E$20=1),Skills!$B$8&amp;", ","")&amp;IF(AND(BB52=1,Skills!$F$20=1),Skills!$B$9&amp;", ","")&amp;IF(AND(BC52=1,Skills!$G$20=1),Skills!$B$10&amp;", ","")&amp;IF(AND(BD52=1,Skills!$H$20=1),Skills!$B$11&amp;", ","")&amp;IF(AND(BE52=1,Skills!$I$20=1),Skills!$B$12&amp;", ","")&amp;IF(AND(BF52=1,Skills!$J$20=1),Skills!$B$13&amp;", ","")&amp;IF(AND(BG52=1,Skills!$K$20=1),Skills!$B$14&amp;", ","")&amp;IF(AND(BH52=1,Skills!$L$20=1),Skills!$B$15&amp;", ","")&amp;IF(AND(BI52=1,Skills!$M$20=1),Skills!$B$16&amp;", ",""),LEN(IF(AND(AX52=1,Skills!$B$20=1),Skills!$B$5&amp;", ","")&amp;IF(AND(AY52=1,Skills!$C$20=1),Skills!$B$6&amp;", ","")&amp;IF(AND(AZ52=1,Skills!$D$20=1),Skills!$B$7&amp;", ","")&amp;IF(AND(BA52=1,Skills!$E$20=1),Skills!$B$8&amp;", ","")&amp;IF(AND(BB52=1,Skills!$F$20=1),Skills!$B$9&amp;", ","")&amp;IF(AND(BC52=1,Skills!$G$20=1),Skills!$B$10&amp;", ","")&amp;IF(AND(BD52=1,Skills!$H$20=1),Skills!$B$11&amp;", ","")&amp;IF(AND(BE52=1,Skills!$I$20=1),Skills!$B$12&amp;", ","")&amp;IF(AND(BF52=1,Skills!$J$20=1),Skills!$B$13&amp;", ","")&amp;IF(AND(BG52=1,Skills!$K$20=1),Skills!$B$14&amp;", ","")&amp;IF(AND(BH52=1,Skills!$L$20=1),Skills!$B$15&amp;", ","")&amp;IF(AND(BI52=1,Skills!$M$20=1),Skills!$B$16&amp;", ",""))-2)))</f>
        <v/>
      </c>
    </row>
    <row r="53">
      <c r="AD53" s="20" t="n"/>
      <c r="AE53" s="20" t="n"/>
      <c r="AF53" s="20" t="n"/>
      <c r="AG53" s="20" t="n"/>
      <c r="AH53" s="20" t="n"/>
      <c r="AI53" s="20" t="n"/>
      <c r="AJ53" s="20" t="n"/>
      <c r="AK53" s="20" t="n"/>
      <c r="AL53" s="20" t="n"/>
      <c r="AM53" s="20" t="n"/>
      <c r="AN53" s="20" t="n"/>
      <c r="AO53" s="20" t="n"/>
      <c r="AP53" s="20" t="n"/>
      <c r="AR53" s="31">
        <f>IF(IFERROR(TRIM(INDEX($A53:$AB53,MATCH(Lists!$B$5,$A$1:$AB$1,0))&amp;""),"")&lt;&gt;"",IFERROR(TRIM(INDEX($A53:$AB53,MATCH(Lists!$B$5,$A$1:$AB$1,0))&amp;""),""),IFERROR(TRIM(INDEX($A53:$AB53,MATCH(Lists!$B$3,$A$1:$AB$1,0))&amp;""),""))</f>
        <v/>
      </c>
      <c r="AS53" s="31">
        <f>IF(AR53="","",IF(IFERROR(TRIM(INDEX($A53:$AB53,MATCH(Lists!$B$5,$A$1:$AB$1,0))&amp;""),"")&lt;&gt;"","Nominated","Applied"))</f>
        <v/>
      </c>
      <c r="AT53" s="31">
        <f>IF(AR53="","",IF(IFERROR(TRIM(INDEX($A53:$AB53,MATCH(Lists!$B$5,$A$1:$AB$1,0))&amp;""),"")&lt;&gt;"",IFERROR(TRIM(INDEX($A53:$AB53,MATCH(Lists!$B$6,$A$1:$AB$1,0))&amp;""),""),IFERROR(TRIM(INDEX($A53:$AB53,MATCH(Lists!$B$4,$A$1:$AB$1,0))&amp;""),"")))</f>
        <v/>
      </c>
      <c r="AU53" s="31">
        <f>IF(AR53="","",IFERROR(TRIM(INDEX($A53:$AB53,MATCH(Lists!$B$7,$A$1:$AB$1,0))&amp;""),""))</f>
        <v/>
      </c>
      <c r="AV53" s="31">
        <f>IF(AR53="","",IFERROR(TRIM(INDEX($A53:$AB53,MATCH(Lists!$B$9,$A$1:$AB$1,0))&amp;""),""))</f>
        <v/>
      </c>
      <c r="AW53" s="31">
        <f>IF(AR53="","",IFERROR(TRIM(INDEX($A53:$AB53,MATCH(Lists!$B$8,$A$1:$AB$1,0))&amp;""),""))</f>
        <v/>
      </c>
      <c r="AX53" s="23">
        <f>IF(AR53="","",IF(OR(TRIM(AE53&amp;"")&lt;&gt;"",AND(Skills!$B$5&lt;&gt;"",ISNUMBER(SEARCH(Skills!$B$5,AU53)))),1,0))</f>
        <v/>
      </c>
      <c r="AY53" s="23">
        <f>IF(AR53="","",IF(OR(TRIM(AF53&amp;"")&lt;&gt;"",AND(Skills!$B$6&lt;&gt;"",ISNUMBER(SEARCH(Skills!$B$6,AU53)))),1,0))</f>
        <v/>
      </c>
      <c r="AZ53" s="23">
        <f>IF(AR53="","",IF(OR(TRIM(AG53&amp;"")&lt;&gt;"",AND(Skills!$B$7&lt;&gt;"",ISNUMBER(SEARCH(Skills!$B$7,AU53)))),1,0))</f>
        <v/>
      </c>
      <c r="BA53" s="23">
        <f>IF(AR53="","",IF(OR(TRIM(AH53&amp;"")&lt;&gt;"",AND(Skills!$B$8&lt;&gt;"",ISNUMBER(SEARCH(Skills!$B$8,AU53)))),1,0))</f>
        <v/>
      </c>
      <c r="BB53" s="23">
        <f>IF(AR53="","",IF(OR(TRIM(AI53&amp;"")&lt;&gt;"",AND(Skills!$B$9&lt;&gt;"",ISNUMBER(SEARCH(Skills!$B$9,AU53)))),1,0))</f>
        <v/>
      </c>
      <c r="BC53" s="23">
        <f>IF(AR53="","",IF(OR(TRIM(AJ53&amp;"")&lt;&gt;"",AND(Skills!$B$10&lt;&gt;"",ISNUMBER(SEARCH(Skills!$B$10,AU53)))),1,0))</f>
        <v/>
      </c>
      <c r="BD53" s="23">
        <f>IF(AR53="","",IF(OR(TRIM(AK53&amp;"")&lt;&gt;"",AND(Skills!$B$11&lt;&gt;"",ISNUMBER(SEARCH(Skills!$B$11,AU53)))),1,0))</f>
        <v/>
      </c>
      <c r="BE53" s="23">
        <f>IF(AR53="","",IF(OR(TRIM(AL53&amp;"")&lt;&gt;"",AND(Skills!$B$12&lt;&gt;"",ISNUMBER(SEARCH(Skills!$B$12,AU53)))),1,0))</f>
        <v/>
      </c>
      <c r="BF53" s="23">
        <f>IF(AR53="","",IF(OR(TRIM(AM53&amp;"")&lt;&gt;"",AND(Skills!$B$13&lt;&gt;"",ISNUMBER(SEARCH(Skills!$B$13,AU53)))),1,0))</f>
        <v/>
      </c>
      <c r="BG53" s="23">
        <f>IF(AR53="","",IF(OR(TRIM(AN53&amp;"")&lt;&gt;"",AND(Skills!$B$14&lt;&gt;"",ISNUMBER(SEARCH(Skills!$B$14,AU53)))),1,0))</f>
        <v/>
      </c>
      <c r="BH53" s="23">
        <f>IF(AR53="","",IF(OR(TRIM(AO53&amp;"")&lt;&gt;"",AND(Skills!$B$15&lt;&gt;"",ISNUMBER(SEARCH(Skills!$B$15,AU53)))),1,0))</f>
        <v/>
      </c>
      <c r="BI53" s="23">
        <f>IF(AR53="","",IF(OR(TRIM(AP53&amp;"")&lt;&gt;"",AND(Skills!$B$16&lt;&gt;"",ISNUMBER(SEARCH(Skills!$B$16,AU53)))),1,0))</f>
        <v/>
      </c>
      <c r="BJ53" s="23">
        <f>IF(AR53="","",SUMPRODUCT($AX53:$BI53,Skills!$B$20:$M$20))</f>
        <v/>
      </c>
      <c r="BK53" s="23">
        <f>IF(AR53="","",BJ53*100000+(100000-ROW()))</f>
        <v/>
      </c>
      <c r="BL53" s="31">
        <f>IF(AR53="","",IF((IF(AND(AX53=1,Skills!$B$20=1),Skills!$B$5&amp;", ","")&amp;IF(AND(AY53=1,Skills!$C$20=1),Skills!$B$6&amp;", ","")&amp;IF(AND(AZ53=1,Skills!$D$20=1),Skills!$B$7&amp;", ","")&amp;IF(AND(BA53=1,Skills!$E$20=1),Skills!$B$8&amp;", ","")&amp;IF(AND(BB53=1,Skills!$F$20=1),Skills!$B$9&amp;", ","")&amp;IF(AND(BC53=1,Skills!$G$20=1),Skills!$B$10&amp;", ","")&amp;IF(AND(BD53=1,Skills!$H$20=1),Skills!$B$11&amp;", ","")&amp;IF(AND(BE53=1,Skills!$I$20=1),Skills!$B$12&amp;", ","")&amp;IF(AND(BF53=1,Skills!$J$20=1),Skills!$B$13&amp;", ","")&amp;IF(AND(BG53=1,Skills!$K$20=1),Skills!$B$14&amp;", ","")&amp;IF(AND(BH53=1,Skills!$L$20=1),Skills!$B$15&amp;", ","")&amp;IF(AND(BI53=1,Skills!$M$20=1),Skills!$B$16&amp;", ",""))="","",LEFT(IF(AND(AX53=1,Skills!$B$20=1),Skills!$B$5&amp;", ","")&amp;IF(AND(AY53=1,Skills!$C$20=1),Skills!$B$6&amp;", ","")&amp;IF(AND(AZ53=1,Skills!$D$20=1),Skills!$B$7&amp;", ","")&amp;IF(AND(BA53=1,Skills!$E$20=1),Skills!$B$8&amp;", ","")&amp;IF(AND(BB53=1,Skills!$F$20=1),Skills!$B$9&amp;", ","")&amp;IF(AND(BC53=1,Skills!$G$20=1),Skills!$B$10&amp;", ","")&amp;IF(AND(BD53=1,Skills!$H$20=1),Skills!$B$11&amp;", ","")&amp;IF(AND(BE53=1,Skills!$I$20=1),Skills!$B$12&amp;", ","")&amp;IF(AND(BF53=1,Skills!$J$20=1),Skills!$B$13&amp;", ","")&amp;IF(AND(BG53=1,Skills!$K$20=1),Skills!$B$14&amp;", ","")&amp;IF(AND(BH53=1,Skills!$L$20=1),Skills!$B$15&amp;", ","")&amp;IF(AND(BI53=1,Skills!$M$20=1),Skills!$B$16&amp;", ",""),LEN(IF(AND(AX53=1,Skills!$B$20=1),Skills!$B$5&amp;", ","")&amp;IF(AND(AY53=1,Skills!$C$20=1),Skills!$B$6&amp;", ","")&amp;IF(AND(AZ53=1,Skills!$D$20=1),Skills!$B$7&amp;", ","")&amp;IF(AND(BA53=1,Skills!$E$20=1),Skills!$B$8&amp;", ","")&amp;IF(AND(BB53=1,Skills!$F$20=1),Skills!$B$9&amp;", ","")&amp;IF(AND(BC53=1,Skills!$G$20=1),Skills!$B$10&amp;", ","")&amp;IF(AND(BD53=1,Skills!$H$20=1),Skills!$B$11&amp;", ","")&amp;IF(AND(BE53=1,Skills!$I$20=1),Skills!$B$12&amp;", ","")&amp;IF(AND(BF53=1,Skills!$J$20=1),Skills!$B$13&amp;", ","")&amp;IF(AND(BG53=1,Skills!$K$20=1),Skills!$B$14&amp;", ","")&amp;IF(AND(BH53=1,Skills!$L$20=1),Skills!$B$15&amp;", ","")&amp;IF(AND(BI53=1,Skills!$M$20=1),Skills!$B$16&amp;", ",""))-2)))</f>
        <v/>
      </c>
    </row>
    <row r="54">
      <c r="AD54" s="20" t="n"/>
      <c r="AE54" s="20" t="n"/>
      <c r="AF54" s="20" t="n"/>
      <c r="AG54" s="20" t="n"/>
      <c r="AH54" s="20" t="n"/>
      <c r="AI54" s="20" t="n"/>
      <c r="AJ54" s="20" t="n"/>
      <c r="AK54" s="20" t="n"/>
      <c r="AL54" s="20" t="n"/>
      <c r="AM54" s="20" t="n"/>
      <c r="AN54" s="20" t="n"/>
      <c r="AO54" s="20" t="n"/>
      <c r="AP54" s="20" t="n"/>
      <c r="AR54" s="31">
        <f>IF(IFERROR(TRIM(INDEX($A54:$AB54,MATCH(Lists!$B$5,$A$1:$AB$1,0))&amp;""),"")&lt;&gt;"",IFERROR(TRIM(INDEX($A54:$AB54,MATCH(Lists!$B$5,$A$1:$AB$1,0))&amp;""),""),IFERROR(TRIM(INDEX($A54:$AB54,MATCH(Lists!$B$3,$A$1:$AB$1,0))&amp;""),""))</f>
        <v/>
      </c>
      <c r="AS54" s="31">
        <f>IF(AR54="","",IF(IFERROR(TRIM(INDEX($A54:$AB54,MATCH(Lists!$B$5,$A$1:$AB$1,0))&amp;""),"")&lt;&gt;"","Nominated","Applied"))</f>
        <v/>
      </c>
      <c r="AT54" s="31">
        <f>IF(AR54="","",IF(IFERROR(TRIM(INDEX($A54:$AB54,MATCH(Lists!$B$5,$A$1:$AB$1,0))&amp;""),"")&lt;&gt;"",IFERROR(TRIM(INDEX($A54:$AB54,MATCH(Lists!$B$6,$A$1:$AB$1,0))&amp;""),""),IFERROR(TRIM(INDEX($A54:$AB54,MATCH(Lists!$B$4,$A$1:$AB$1,0))&amp;""),"")))</f>
        <v/>
      </c>
      <c r="AU54" s="31">
        <f>IF(AR54="","",IFERROR(TRIM(INDEX($A54:$AB54,MATCH(Lists!$B$7,$A$1:$AB$1,0))&amp;""),""))</f>
        <v/>
      </c>
      <c r="AV54" s="31">
        <f>IF(AR54="","",IFERROR(TRIM(INDEX($A54:$AB54,MATCH(Lists!$B$9,$A$1:$AB$1,0))&amp;""),""))</f>
        <v/>
      </c>
      <c r="AW54" s="31">
        <f>IF(AR54="","",IFERROR(TRIM(INDEX($A54:$AB54,MATCH(Lists!$B$8,$A$1:$AB$1,0))&amp;""),""))</f>
        <v/>
      </c>
      <c r="AX54" s="23">
        <f>IF(AR54="","",IF(OR(TRIM(AE54&amp;"")&lt;&gt;"",AND(Skills!$B$5&lt;&gt;"",ISNUMBER(SEARCH(Skills!$B$5,AU54)))),1,0))</f>
        <v/>
      </c>
      <c r="AY54" s="23">
        <f>IF(AR54="","",IF(OR(TRIM(AF54&amp;"")&lt;&gt;"",AND(Skills!$B$6&lt;&gt;"",ISNUMBER(SEARCH(Skills!$B$6,AU54)))),1,0))</f>
        <v/>
      </c>
      <c r="AZ54" s="23">
        <f>IF(AR54="","",IF(OR(TRIM(AG54&amp;"")&lt;&gt;"",AND(Skills!$B$7&lt;&gt;"",ISNUMBER(SEARCH(Skills!$B$7,AU54)))),1,0))</f>
        <v/>
      </c>
      <c r="BA54" s="23">
        <f>IF(AR54="","",IF(OR(TRIM(AH54&amp;"")&lt;&gt;"",AND(Skills!$B$8&lt;&gt;"",ISNUMBER(SEARCH(Skills!$B$8,AU54)))),1,0))</f>
        <v/>
      </c>
      <c r="BB54" s="23">
        <f>IF(AR54="","",IF(OR(TRIM(AI54&amp;"")&lt;&gt;"",AND(Skills!$B$9&lt;&gt;"",ISNUMBER(SEARCH(Skills!$B$9,AU54)))),1,0))</f>
        <v/>
      </c>
      <c r="BC54" s="23">
        <f>IF(AR54="","",IF(OR(TRIM(AJ54&amp;"")&lt;&gt;"",AND(Skills!$B$10&lt;&gt;"",ISNUMBER(SEARCH(Skills!$B$10,AU54)))),1,0))</f>
        <v/>
      </c>
      <c r="BD54" s="23">
        <f>IF(AR54="","",IF(OR(TRIM(AK54&amp;"")&lt;&gt;"",AND(Skills!$B$11&lt;&gt;"",ISNUMBER(SEARCH(Skills!$B$11,AU54)))),1,0))</f>
        <v/>
      </c>
      <c r="BE54" s="23">
        <f>IF(AR54="","",IF(OR(TRIM(AL54&amp;"")&lt;&gt;"",AND(Skills!$B$12&lt;&gt;"",ISNUMBER(SEARCH(Skills!$B$12,AU54)))),1,0))</f>
        <v/>
      </c>
      <c r="BF54" s="23">
        <f>IF(AR54="","",IF(OR(TRIM(AM54&amp;"")&lt;&gt;"",AND(Skills!$B$13&lt;&gt;"",ISNUMBER(SEARCH(Skills!$B$13,AU54)))),1,0))</f>
        <v/>
      </c>
      <c r="BG54" s="23">
        <f>IF(AR54="","",IF(OR(TRIM(AN54&amp;"")&lt;&gt;"",AND(Skills!$B$14&lt;&gt;"",ISNUMBER(SEARCH(Skills!$B$14,AU54)))),1,0))</f>
        <v/>
      </c>
      <c r="BH54" s="23">
        <f>IF(AR54="","",IF(OR(TRIM(AO54&amp;"")&lt;&gt;"",AND(Skills!$B$15&lt;&gt;"",ISNUMBER(SEARCH(Skills!$B$15,AU54)))),1,0))</f>
        <v/>
      </c>
      <c r="BI54" s="23">
        <f>IF(AR54="","",IF(OR(TRIM(AP54&amp;"")&lt;&gt;"",AND(Skills!$B$16&lt;&gt;"",ISNUMBER(SEARCH(Skills!$B$16,AU54)))),1,0))</f>
        <v/>
      </c>
      <c r="BJ54" s="23">
        <f>IF(AR54="","",SUMPRODUCT($AX54:$BI54,Skills!$B$20:$M$20))</f>
        <v/>
      </c>
      <c r="BK54" s="23">
        <f>IF(AR54="","",BJ54*100000+(100000-ROW()))</f>
        <v/>
      </c>
      <c r="BL54" s="31">
        <f>IF(AR54="","",IF((IF(AND(AX54=1,Skills!$B$20=1),Skills!$B$5&amp;", ","")&amp;IF(AND(AY54=1,Skills!$C$20=1),Skills!$B$6&amp;", ","")&amp;IF(AND(AZ54=1,Skills!$D$20=1),Skills!$B$7&amp;", ","")&amp;IF(AND(BA54=1,Skills!$E$20=1),Skills!$B$8&amp;", ","")&amp;IF(AND(BB54=1,Skills!$F$20=1),Skills!$B$9&amp;", ","")&amp;IF(AND(BC54=1,Skills!$G$20=1),Skills!$B$10&amp;", ","")&amp;IF(AND(BD54=1,Skills!$H$20=1),Skills!$B$11&amp;", ","")&amp;IF(AND(BE54=1,Skills!$I$20=1),Skills!$B$12&amp;", ","")&amp;IF(AND(BF54=1,Skills!$J$20=1),Skills!$B$13&amp;", ","")&amp;IF(AND(BG54=1,Skills!$K$20=1),Skills!$B$14&amp;", ","")&amp;IF(AND(BH54=1,Skills!$L$20=1),Skills!$B$15&amp;", ","")&amp;IF(AND(BI54=1,Skills!$M$20=1),Skills!$B$16&amp;", ",""))="","",LEFT(IF(AND(AX54=1,Skills!$B$20=1),Skills!$B$5&amp;", ","")&amp;IF(AND(AY54=1,Skills!$C$20=1),Skills!$B$6&amp;", ","")&amp;IF(AND(AZ54=1,Skills!$D$20=1),Skills!$B$7&amp;", ","")&amp;IF(AND(BA54=1,Skills!$E$20=1),Skills!$B$8&amp;", ","")&amp;IF(AND(BB54=1,Skills!$F$20=1),Skills!$B$9&amp;", ","")&amp;IF(AND(BC54=1,Skills!$G$20=1),Skills!$B$10&amp;", ","")&amp;IF(AND(BD54=1,Skills!$H$20=1),Skills!$B$11&amp;", ","")&amp;IF(AND(BE54=1,Skills!$I$20=1),Skills!$B$12&amp;", ","")&amp;IF(AND(BF54=1,Skills!$J$20=1),Skills!$B$13&amp;", ","")&amp;IF(AND(BG54=1,Skills!$K$20=1),Skills!$B$14&amp;", ","")&amp;IF(AND(BH54=1,Skills!$L$20=1),Skills!$B$15&amp;", ","")&amp;IF(AND(BI54=1,Skills!$M$20=1),Skills!$B$16&amp;", ",""),LEN(IF(AND(AX54=1,Skills!$B$20=1),Skills!$B$5&amp;", ","")&amp;IF(AND(AY54=1,Skills!$C$20=1),Skills!$B$6&amp;", ","")&amp;IF(AND(AZ54=1,Skills!$D$20=1),Skills!$B$7&amp;", ","")&amp;IF(AND(BA54=1,Skills!$E$20=1),Skills!$B$8&amp;", ","")&amp;IF(AND(BB54=1,Skills!$F$20=1),Skills!$B$9&amp;", ","")&amp;IF(AND(BC54=1,Skills!$G$20=1),Skills!$B$10&amp;", ","")&amp;IF(AND(BD54=1,Skills!$H$20=1),Skills!$B$11&amp;", ","")&amp;IF(AND(BE54=1,Skills!$I$20=1),Skills!$B$12&amp;", ","")&amp;IF(AND(BF54=1,Skills!$J$20=1),Skills!$B$13&amp;", ","")&amp;IF(AND(BG54=1,Skills!$K$20=1),Skills!$B$14&amp;", ","")&amp;IF(AND(BH54=1,Skills!$L$20=1),Skills!$B$15&amp;", ","")&amp;IF(AND(BI54=1,Skills!$M$20=1),Skills!$B$16&amp;", ",""))-2)))</f>
        <v/>
      </c>
    </row>
    <row r="55">
      <c r="AD55" s="20" t="n"/>
      <c r="AE55" s="20" t="n"/>
      <c r="AF55" s="20" t="n"/>
      <c r="AG55" s="20" t="n"/>
      <c r="AH55" s="20" t="n"/>
      <c r="AI55" s="20" t="n"/>
      <c r="AJ55" s="20" t="n"/>
      <c r="AK55" s="20" t="n"/>
      <c r="AL55" s="20" t="n"/>
      <c r="AM55" s="20" t="n"/>
      <c r="AN55" s="20" t="n"/>
      <c r="AO55" s="20" t="n"/>
      <c r="AP55" s="20" t="n"/>
      <c r="AR55" s="31">
        <f>IF(IFERROR(TRIM(INDEX($A55:$AB55,MATCH(Lists!$B$5,$A$1:$AB$1,0))&amp;""),"")&lt;&gt;"",IFERROR(TRIM(INDEX($A55:$AB55,MATCH(Lists!$B$5,$A$1:$AB$1,0))&amp;""),""),IFERROR(TRIM(INDEX($A55:$AB55,MATCH(Lists!$B$3,$A$1:$AB$1,0))&amp;""),""))</f>
        <v/>
      </c>
      <c r="AS55" s="31">
        <f>IF(AR55="","",IF(IFERROR(TRIM(INDEX($A55:$AB55,MATCH(Lists!$B$5,$A$1:$AB$1,0))&amp;""),"")&lt;&gt;"","Nominated","Applied"))</f>
        <v/>
      </c>
      <c r="AT55" s="31">
        <f>IF(AR55="","",IF(IFERROR(TRIM(INDEX($A55:$AB55,MATCH(Lists!$B$5,$A$1:$AB$1,0))&amp;""),"")&lt;&gt;"",IFERROR(TRIM(INDEX($A55:$AB55,MATCH(Lists!$B$6,$A$1:$AB$1,0))&amp;""),""),IFERROR(TRIM(INDEX($A55:$AB55,MATCH(Lists!$B$4,$A$1:$AB$1,0))&amp;""),"")))</f>
        <v/>
      </c>
      <c r="AU55" s="31">
        <f>IF(AR55="","",IFERROR(TRIM(INDEX($A55:$AB55,MATCH(Lists!$B$7,$A$1:$AB$1,0))&amp;""),""))</f>
        <v/>
      </c>
      <c r="AV55" s="31">
        <f>IF(AR55="","",IFERROR(TRIM(INDEX($A55:$AB55,MATCH(Lists!$B$9,$A$1:$AB$1,0))&amp;""),""))</f>
        <v/>
      </c>
      <c r="AW55" s="31">
        <f>IF(AR55="","",IFERROR(TRIM(INDEX($A55:$AB55,MATCH(Lists!$B$8,$A$1:$AB$1,0))&amp;""),""))</f>
        <v/>
      </c>
      <c r="AX55" s="23">
        <f>IF(AR55="","",IF(OR(TRIM(AE55&amp;"")&lt;&gt;"",AND(Skills!$B$5&lt;&gt;"",ISNUMBER(SEARCH(Skills!$B$5,AU55)))),1,0))</f>
        <v/>
      </c>
      <c r="AY55" s="23">
        <f>IF(AR55="","",IF(OR(TRIM(AF55&amp;"")&lt;&gt;"",AND(Skills!$B$6&lt;&gt;"",ISNUMBER(SEARCH(Skills!$B$6,AU55)))),1,0))</f>
        <v/>
      </c>
      <c r="AZ55" s="23">
        <f>IF(AR55="","",IF(OR(TRIM(AG55&amp;"")&lt;&gt;"",AND(Skills!$B$7&lt;&gt;"",ISNUMBER(SEARCH(Skills!$B$7,AU55)))),1,0))</f>
        <v/>
      </c>
      <c r="BA55" s="23">
        <f>IF(AR55="","",IF(OR(TRIM(AH55&amp;"")&lt;&gt;"",AND(Skills!$B$8&lt;&gt;"",ISNUMBER(SEARCH(Skills!$B$8,AU55)))),1,0))</f>
        <v/>
      </c>
      <c r="BB55" s="23">
        <f>IF(AR55="","",IF(OR(TRIM(AI55&amp;"")&lt;&gt;"",AND(Skills!$B$9&lt;&gt;"",ISNUMBER(SEARCH(Skills!$B$9,AU55)))),1,0))</f>
        <v/>
      </c>
      <c r="BC55" s="23">
        <f>IF(AR55="","",IF(OR(TRIM(AJ55&amp;"")&lt;&gt;"",AND(Skills!$B$10&lt;&gt;"",ISNUMBER(SEARCH(Skills!$B$10,AU55)))),1,0))</f>
        <v/>
      </c>
      <c r="BD55" s="23">
        <f>IF(AR55="","",IF(OR(TRIM(AK55&amp;"")&lt;&gt;"",AND(Skills!$B$11&lt;&gt;"",ISNUMBER(SEARCH(Skills!$B$11,AU55)))),1,0))</f>
        <v/>
      </c>
      <c r="BE55" s="23">
        <f>IF(AR55="","",IF(OR(TRIM(AL55&amp;"")&lt;&gt;"",AND(Skills!$B$12&lt;&gt;"",ISNUMBER(SEARCH(Skills!$B$12,AU55)))),1,0))</f>
        <v/>
      </c>
      <c r="BF55" s="23">
        <f>IF(AR55="","",IF(OR(TRIM(AM55&amp;"")&lt;&gt;"",AND(Skills!$B$13&lt;&gt;"",ISNUMBER(SEARCH(Skills!$B$13,AU55)))),1,0))</f>
        <v/>
      </c>
      <c r="BG55" s="23">
        <f>IF(AR55="","",IF(OR(TRIM(AN55&amp;"")&lt;&gt;"",AND(Skills!$B$14&lt;&gt;"",ISNUMBER(SEARCH(Skills!$B$14,AU55)))),1,0))</f>
        <v/>
      </c>
      <c r="BH55" s="23">
        <f>IF(AR55="","",IF(OR(TRIM(AO55&amp;"")&lt;&gt;"",AND(Skills!$B$15&lt;&gt;"",ISNUMBER(SEARCH(Skills!$B$15,AU55)))),1,0))</f>
        <v/>
      </c>
      <c r="BI55" s="23">
        <f>IF(AR55="","",IF(OR(TRIM(AP55&amp;"")&lt;&gt;"",AND(Skills!$B$16&lt;&gt;"",ISNUMBER(SEARCH(Skills!$B$16,AU55)))),1,0))</f>
        <v/>
      </c>
      <c r="BJ55" s="23">
        <f>IF(AR55="","",SUMPRODUCT($AX55:$BI55,Skills!$B$20:$M$20))</f>
        <v/>
      </c>
      <c r="BK55" s="23">
        <f>IF(AR55="","",BJ55*100000+(100000-ROW()))</f>
        <v/>
      </c>
      <c r="BL55" s="31">
        <f>IF(AR55="","",IF((IF(AND(AX55=1,Skills!$B$20=1),Skills!$B$5&amp;", ","")&amp;IF(AND(AY55=1,Skills!$C$20=1),Skills!$B$6&amp;", ","")&amp;IF(AND(AZ55=1,Skills!$D$20=1),Skills!$B$7&amp;", ","")&amp;IF(AND(BA55=1,Skills!$E$20=1),Skills!$B$8&amp;", ","")&amp;IF(AND(BB55=1,Skills!$F$20=1),Skills!$B$9&amp;", ","")&amp;IF(AND(BC55=1,Skills!$G$20=1),Skills!$B$10&amp;", ","")&amp;IF(AND(BD55=1,Skills!$H$20=1),Skills!$B$11&amp;", ","")&amp;IF(AND(BE55=1,Skills!$I$20=1),Skills!$B$12&amp;", ","")&amp;IF(AND(BF55=1,Skills!$J$20=1),Skills!$B$13&amp;", ","")&amp;IF(AND(BG55=1,Skills!$K$20=1),Skills!$B$14&amp;", ","")&amp;IF(AND(BH55=1,Skills!$L$20=1),Skills!$B$15&amp;", ","")&amp;IF(AND(BI55=1,Skills!$M$20=1),Skills!$B$16&amp;", ",""))="","",LEFT(IF(AND(AX55=1,Skills!$B$20=1),Skills!$B$5&amp;", ","")&amp;IF(AND(AY55=1,Skills!$C$20=1),Skills!$B$6&amp;", ","")&amp;IF(AND(AZ55=1,Skills!$D$20=1),Skills!$B$7&amp;", ","")&amp;IF(AND(BA55=1,Skills!$E$20=1),Skills!$B$8&amp;", ","")&amp;IF(AND(BB55=1,Skills!$F$20=1),Skills!$B$9&amp;", ","")&amp;IF(AND(BC55=1,Skills!$G$20=1),Skills!$B$10&amp;", ","")&amp;IF(AND(BD55=1,Skills!$H$20=1),Skills!$B$11&amp;", ","")&amp;IF(AND(BE55=1,Skills!$I$20=1),Skills!$B$12&amp;", ","")&amp;IF(AND(BF55=1,Skills!$J$20=1),Skills!$B$13&amp;", ","")&amp;IF(AND(BG55=1,Skills!$K$20=1),Skills!$B$14&amp;", ","")&amp;IF(AND(BH55=1,Skills!$L$20=1),Skills!$B$15&amp;", ","")&amp;IF(AND(BI55=1,Skills!$M$20=1),Skills!$B$16&amp;", ",""),LEN(IF(AND(AX55=1,Skills!$B$20=1),Skills!$B$5&amp;", ","")&amp;IF(AND(AY55=1,Skills!$C$20=1),Skills!$B$6&amp;", ","")&amp;IF(AND(AZ55=1,Skills!$D$20=1),Skills!$B$7&amp;", ","")&amp;IF(AND(BA55=1,Skills!$E$20=1),Skills!$B$8&amp;", ","")&amp;IF(AND(BB55=1,Skills!$F$20=1),Skills!$B$9&amp;", ","")&amp;IF(AND(BC55=1,Skills!$G$20=1),Skills!$B$10&amp;", ","")&amp;IF(AND(BD55=1,Skills!$H$20=1),Skills!$B$11&amp;", ","")&amp;IF(AND(BE55=1,Skills!$I$20=1),Skills!$B$12&amp;", ","")&amp;IF(AND(BF55=1,Skills!$J$20=1),Skills!$B$13&amp;", ","")&amp;IF(AND(BG55=1,Skills!$K$20=1),Skills!$B$14&amp;", ","")&amp;IF(AND(BH55=1,Skills!$L$20=1),Skills!$B$15&amp;", ","")&amp;IF(AND(BI55=1,Skills!$M$20=1),Skills!$B$16&amp;", ",""))-2)))</f>
        <v/>
      </c>
    </row>
    <row r="56">
      <c r="AD56" s="20" t="n"/>
      <c r="AE56" s="20" t="n"/>
      <c r="AF56" s="20" t="n"/>
      <c r="AG56" s="20" t="n"/>
      <c r="AH56" s="20" t="n"/>
      <c r="AI56" s="20" t="n"/>
      <c r="AJ56" s="20" t="n"/>
      <c r="AK56" s="20" t="n"/>
      <c r="AL56" s="20" t="n"/>
      <c r="AM56" s="20" t="n"/>
      <c r="AN56" s="20" t="n"/>
      <c r="AO56" s="20" t="n"/>
      <c r="AP56" s="20" t="n"/>
      <c r="AR56" s="31">
        <f>IF(IFERROR(TRIM(INDEX($A56:$AB56,MATCH(Lists!$B$5,$A$1:$AB$1,0))&amp;""),"")&lt;&gt;"",IFERROR(TRIM(INDEX($A56:$AB56,MATCH(Lists!$B$5,$A$1:$AB$1,0))&amp;""),""),IFERROR(TRIM(INDEX($A56:$AB56,MATCH(Lists!$B$3,$A$1:$AB$1,0))&amp;""),""))</f>
        <v/>
      </c>
      <c r="AS56" s="31">
        <f>IF(AR56="","",IF(IFERROR(TRIM(INDEX($A56:$AB56,MATCH(Lists!$B$5,$A$1:$AB$1,0))&amp;""),"")&lt;&gt;"","Nominated","Applied"))</f>
        <v/>
      </c>
      <c r="AT56" s="31">
        <f>IF(AR56="","",IF(IFERROR(TRIM(INDEX($A56:$AB56,MATCH(Lists!$B$5,$A$1:$AB$1,0))&amp;""),"")&lt;&gt;"",IFERROR(TRIM(INDEX($A56:$AB56,MATCH(Lists!$B$6,$A$1:$AB$1,0))&amp;""),""),IFERROR(TRIM(INDEX($A56:$AB56,MATCH(Lists!$B$4,$A$1:$AB$1,0))&amp;""),"")))</f>
        <v/>
      </c>
      <c r="AU56" s="31">
        <f>IF(AR56="","",IFERROR(TRIM(INDEX($A56:$AB56,MATCH(Lists!$B$7,$A$1:$AB$1,0))&amp;""),""))</f>
        <v/>
      </c>
      <c r="AV56" s="31">
        <f>IF(AR56="","",IFERROR(TRIM(INDEX($A56:$AB56,MATCH(Lists!$B$9,$A$1:$AB$1,0))&amp;""),""))</f>
        <v/>
      </c>
      <c r="AW56" s="31">
        <f>IF(AR56="","",IFERROR(TRIM(INDEX($A56:$AB56,MATCH(Lists!$B$8,$A$1:$AB$1,0))&amp;""),""))</f>
        <v/>
      </c>
      <c r="AX56" s="23">
        <f>IF(AR56="","",IF(OR(TRIM(AE56&amp;"")&lt;&gt;"",AND(Skills!$B$5&lt;&gt;"",ISNUMBER(SEARCH(Skills!$B$5,AU56)))),1,0))</f>
        <v/>
      </c>
      <c r="AY56" s="23">
        <f>IF(AR56="","",IF(OR(TRIM(AF56&amp;"")&lt;&gt;"",AND(Skills!$B$6&lt;&gt;"",ISNUMBER(SEARCH(Skills!$B$6,AU56)))),1,0))</f>
        <v/>
      </c>
      <c r="AZ56" s="23">
        <f>IF(AR56="","",IF(OR(TRIM(AG56&amp;"")&lt;&gt;"",AND(Skills!$B$7&lt;&gt;"",ISNUMBER(SEARCH(Skills!$B$7,AU56)))),1,0))</f>
        <v/>
      </c>
      <c r="BA56" s="23">
        <f>IF(AR56="","",IF(OR(TRIM(AH56&amp;"")&lt;&gt;"",AND(Skills!$B$8&lt;&gt;"",ISNUMBER(SEARCH(Skills!$B$8,AU56)))),1,0))</f>
        <v/>
      </c>
      <c r="BB56" s="23">
        <f>IF(AR56="","",IF(OR(TRIM(AI56&amp;"")&lt;&gt;"",AND(Skills!$B$9&lt;&gt;"",ISNUMBER(SEARCH(Skills!$B$9,AU56)))),1,0))</f>
        <v/>
      </c>
      <c r="BC56" s="23">
        <f>IF(AR56="","",IF(OR(TRIM(AJ56&amp;"")&lt;&gt;"",AND(Skills!$B$10&lt;&gt;"",ISNUMBER(SEARCH(Skills!$B$10,AU56)))),1,0))</f>
        <v/>
      </c>
      <c r="BD56" s="23">
        <f>IF(AR56="","",IF(OR(TRIM(AK56&amp;"")&lt;&gt;"",AND(Skills!$B$11&lt;&gt;"",ISNUMBER(SEARCH(Skills!$B$11,AU56)))),1,0))</f>
        <v/>
      </c>
      <c r="BE56" s="23">
        <f>IF(AR56="","",IF(OR(TRIM(AL56&amp;"")&lt;&gt;"",AND(Skills!$B$12&lt;&gt;"",ISNUMBER(SEARCH(Skills!$B$12,AU56)))),1,0))</f>
        <v/>
      </c>
      <c r="BF56" s="23">
        <f>IF(AR56="","",IF(OR(TRIM(AM56&amp;"")&lt;&gt;"",AND(Skills!$B$13&lt;&gt;"",ISNUMBER(SEARCH(Skills!$B$13,AU56)))),1,0))</f>
        <v/>
      </c>
      <c r="BG56" s="23">
        <f>IF(AR56="","",IF(OR(TRIM(AN56&amp;"")&lt;&gt;"",AND(Skills!$B$14&lt;&gt;"",ISNUMBER(SEARCH(Skills!$B$14,AU56)))),1,0))</f>
        <v/>
      </c>
      <c r="BH56" s="23">
        <f>IF(AR56="","",IF(OR(TRIM(AO56&amp;"")&lt;&gt;"",AND(Skills!$B$15&lt;&gt;"",ISNUMBER(SEARCH(Skills!$B$15,AU56)))),1,0))</f>
        <v/>
      </c>
      <c r="BI56" s="23">
        <f>IF(AR56="","",IF(OR(TRIM(AP56&amp;"")&lt;&gt;"",AND(Skills!$B$16&lt;&gt;"",ISNUMBER(SEARCH(Skills!$B$16,AU56)))),1,0))</f>
        <v/>
      </c>
      <c r="BJ56" s="23">
        <f>IF(AR56="","",SUMPRODUCT($AX56:$BI56,Skills!$B$20:$M$20))</f>
        <v/>
      </c>
      <c r="BK56" s="23">
        <f>IF(AR56="","",BJ56*100000+(100000-ROW()))</f>
        <v/>
      </c>
      <c r="BL56" s="31">
        <f>IF(AR56="","",IF((IF(AND(AX56=1,Skills!$B$20=1),Skills!$B$5&amp;", ","")&amp;IF(AND(AY56=1,Skills!$C$20=1),Skills!$B$6&amp;", ","")&amp;IF(AND(AZ56=1,Skills!$D$20=1),Skills!$B$7&amp;", ","")&amp;IF(AND(BA56=1,Skills!$E$20=1),Skills!$B$8&amp;", ","")&amp;IF(AND(BB56=1,Skills!$F$20=1),Skills!$B$9&amp;", ","")&amp;IF(AND(BC56=1,Skills!$G$20=1),Skills!$B$10&amp;", ","")&amp;IF(AND(BD56=1,Skills!$H$20=1),Skills!$B$11&amp;", ","")&amp;IF(AND(BE56=1,Skills!$I$20=1),Skills!$B$12&amp;", ","")&amp;IF(AND(BF56=1,Skills!$J$20=1),Skills!$B$13&amp;", ","")&amp;IF(AND(BG56=1,Skills!$K$20=1),Skills!$B$14&amp;", ","")&amp;IF(AND(BH56=1,Skills!$L$20=1),Skills!$B$15&amp;", ","")&amp;IF(AND(BI56=1,Skills!$M$20=1),Skills!$B$16&amp;", ",""))="","",LEFT(IF(AND(AX56=1,Skills!$B$20=1),Skills!$B$5&amp;", ","")&amp;IF(AND(AY56=1,Skills!$C$20=1),Skills!$B$6&amp;", ","")&amp;IF(AND(AZ56=1,Skills!$D$20=1),Skills!$B$7&amp;", ","")&amp;IF(AND(BA56=1,Skills!$E$20=1),Skills!$B$8&amp;", ","")&amp;IF(AND(BB56=1,Skills!$F$20=1),Skills!$B$9&amp;", ","")&amp;IF(AND(BC56=1,Skills!$G$20=1),Skills!$B$10&amp;", ","")&amp;IF(AND(BD56=1,Skills!$H$20=1),Skills!$B$11&amp;", ","")&amp;IF(AND(BE56=1,Skills!$I$20=1),Skills!$B$12&amp;", ","")&amp;IF(AND(BF56=1,Skills!$J$20=1),Skills!$B$13&amp;", ","")&amp;IF(AND(BG56=1,Skills!$K$20=1),Skills!$B$14&amp;", ","")&amp;IF(AND(BH56=1,Skills!$L$20=1),Skills!$B$15&amp;", ","")&amp;IF(AND(BI56=1,Skills!$M$20=1),Skills!$B$16&amp;", ",""),LEN(IF(AND(AX56=1,Skills!$B$20=1),Skills!$B$5&amp;", ","")&amp;IF(AND(AY56=1,Skills!$C$20=1),Skills!$B$6&amp;", ","")&amp;IF(AND(AZ56=1,Skills!$D$20=1),Skills!$B$7&amp;", ","")&amp;IF(AND(BA56=1,Skills!$E$20=1),Skills!$B$8&amp;", ","")&amp;IF(AND(BB56=1,Skills!$F$20=1),Skills!$B$9&amp;", ","")&amp;IF(AND(BC56=1,Skills!$G$20=1),Skills!$B$10&amp;", ","")&amp;IF(AND(BD56=1,Skills!$H$20=1),Skills!$B$11&amp;", ","")&amp;IF(AND(BE56=1,Skills!$I$20=1),Skills!$B$12&amp;", ","")&amp;IF(AND(BF56=1,Skills!$J$20=1),Skills!$B$13&amp;", ","")&amp;IF(AND(BG56=1,Skills!$K$20=1),Skills!$B$14&amp;", ","")&amp;IF(AND(BH56=1,Skills!$L$20=1),Skills!$B$15&amp;", ","")&amp;IF(AND(BI56=1,Skills!$M$20=1),Skills!$B$16&amp;", ",""))-2)))</f>
        <v/>
      </c>
    </row>
    <row r="57">
      <c r="AD57" s="20" t="n"/>
      <c r="AE57" s="20" t="n"/>
      <c r="AF57" s="20" t="n"/>
      <c r="AG57" s="20" t="n"/>
      <c r="AH57" s="20" t="n"/>
      <c r="AI57" s="20" t="n"/>
      <c r="AJ57" s="20" t="n"/>
      <c r="AK57" s="20" t="n"/>
      <c r="AL57" s="20" t="n"/>
      <c r="AM57" s="20" t="n"/>
      <c r="AN57" s="20" t="n"/>
      <c r="AO57" s="20" t="n"/>
      <c r="AP57" s="20" t="n"/>
      <c r="AR57" s="31">
        <f>IF(IFERROR(TRIM(INDEX($A57:$AB57,MATCH(Lists!$B$5,$A$1:$AB$1,0))&amp;""),"")&lt;&gt;"",IFERROR(TRIM(INDEX($A57:$AB57,MATCH(Lists!$B$5,$A$1:$AB$1,0))&amp;""),""),IFERROR(TRIM(INDEX($A57:$AB57,MATCH(Lists!$B$3,$A$1:$AB$1,0))&amp;""),""))</f>
        <v/>
      </c>
      <c r="AS57" s="31">
        <f>IF(AR57="","",IF(IFERROR(TRIM(INDEX($A57:$AB57,MATCH(Lists!$B$5,$A$1:$AB$1,0))&amp;""),"")&lt;&gt;"","Nominated","Applied"))</f>
        <v/>
      </c>
      <c r="AT57" s="31">
        <f>IF(AR57="","",IF(IFERROR(TRIM(INDEX($A57:$AB57,MATCH(Lists!$B$5,$A$1:$AB$1,0))&amp;""),"")&lt;&gt;"",IFERROR(TRIM(INDEX($A57:$AB57,MATCH(Lists!$B$6,$A$1:$AB$1,0))&amp;""),""),IFERROR(TRIM(INDEX($A57:$AB57,MATCH(Lists!$B$4,$A$1:$AB$1,0))&amp;""),"")))</f>
        <v/>
      </c>
      <c r="AU57" s="31">
        <f>IF(AR57="","",IFERROR(TRIM(INDEX($A57:$AB57,MATCH(Lists!$B$7,$A$1:$AB$1,0))&amp;""),""))</f>
        <v/>
      </c>
      <c r="AV57" s="31">
        <f>IF(AR57="","",IFERROR(TRIM(INDEX($A57:$AB57,MATCH(Lists!$B$9,$A$1:$AB$1,0))&amp;""),""))</f>
        <v/>
      </c>
      <c r="AW57" s="31">
        <f>IF(AR57="","",IFERROR(TRIM(INDEX($A57:$AB57,MATCH(Lists!$B$8,$A$1:$AB$1,0))&amp;""),""))</f>
        <v/>
      </c>
      <c r="AX57" s="23">
        <f>IF(AR57="","",IF(OR(TRIM(AE57&amp;"")&lt;&gt;"",AND(Skills!$B$5&lt;&gt;"",ISNUMBER(SEARCH(Skills!$B$5,AU57)))),1,0))</f>
        <v/>
      </c>
      <c r="AY57" s="23">
        <f>IF(AR57="","",IF(OR(TRIM(AF57&amp;"")&lt;&gt;"",AND(Skills!$B$6&lt;&gt;"",ISNUMBER(SEARCH(Skills!$B$6,AU57)))),1,0))</f>
        <v/>
      </c>
      <c r="AZ57" s="23">
        <f>IF(AR57="","",IF(OR(TRIM(AG57&amp;"")&lt;&gt;"",AND(Skills!$B$7&lt;&gt;"",ISNUMBER(SEARCH(Skills!$B$7,AU57)))),1,0))</f>
        <v/>
      </c>
      <c r="BA57" s="23">
        <f>IF(AR57="","",IF(OR(TRIM(AH57&amp;"")&lt;&gt;"",AND(Skills!$B$8&lt;&gt;"",ISNUMBER(SEARCH(Skills!$B$8,AU57)))),1,0))</f>
        <v/>
      </c>
      <c r="BB57" s="23">
        <f>IF(AR57="","",IF(OR(TRIM(AI57&amp;"")&lt;&gt;"",AND(Skills!$B$9&lt;&gt;"",ISNUMBER(SEARCH(Skills!$B$9,AU57)))),1,0))</f>
        <v/>
      </c>
      <c r="BC57" s="23">
        <f>IF(AR57="","",IF(OR(TRIM(AJ57&amp;"")&lt;&gt;"",AND(Skills!$B$10&lt;&gt;"",ISNUMBER(SEARCH(Skills!$B$10,AU57)))),1,0))</f>
        <v/>
      </c>
      <c r="BD57" s="23">
        <f>IF(AR57="","",IF(OR(TRIM(AK57&amp;"")&lt;&gt;"",AND(Skills!$B$11&lt;&gt;"",ISNUMBER(SEARCH(Skills!$B$11,AU57)))),1,0))</f>
        <v/>
      </c>
      <c r="BE57" s="23">
        <f>IF(AR57="","",IF(OR(TRIM(AL57&amp;"")&lt;&gt;"",AND(Skills!$B$12&lt;&gt;"",ISNUMBER(SEARCH(Skills!$B$12,AU57)))),1,0))</f>
        <v/>
      </c>
      <c r="BF57" s="23">
        <f>IF(AR57="","",IF(OR(TRIM(AM57&amp;"")&lt;&gt;"",AND(Skills!$B$13&lt;&gt;"",ISNUMBER(SEARCH(Skills!$B$13,AU57)))),1,0))</f>
        <v/>
      </c>
      <c r="BG57" s="23">
        <f>IF(AR57="","",IF(OR(TRIM(AN57&amp;"")&lt;&gt;"",AND(Skills!$B$14&lt;&gt;"",ISNUMBER(SEARCH(Skills!$B$14,AU57)))),1,0))</f>
        <v/>
      </c>
      <c r="BH57" s="23">
        <f>IF(AR57="","",IF(OR(TRIM(AO57&amp;"")&lt;&gt;"",AND(Skills!$B$15&lt;&gt;"",ISNUMBER(SEARCH(Skills!$B$15,AU57)))),1,0))</f>
        <v/>
      </c>
      <c r="BI57" s="23">
        <f>IF(AR57="","",IF(OR(TRIM(AP57&amp;"")&lt;&gt;"",AND(Skills!$B$16&lt;&gt;"",ISNUMBER(SEARCH(Skills!$B$16,AU57)))),1,0))</f>
        <v/>
      </c>
      <c r="BJ57" s="23">
        <f>IF(AR57="","",SUMPRODUCT($AX57:$BI57,Skills!$B$20:$M$20))</f>
        <v/>
      </c>
      <c r="BK57" s="23">
        <f>IF(AR57="","",BJ57*100000+(100000-ROW()))</f>
        <v/>
      </c>
      <c r="BL57" s="31">
        <f>IF(AR57="","",IF((IF(AND(AX57=1,Skills!$B$20=1),Skills!$B$5&amp;", ","")&amp;IF(AND(AY57=1,Skills!$C$20=1),Skills!$B$6&amp;", ","")&amp;IF(AND(AZ57=1,Skills!$D$20=1),Skills!$B$7&amp;", ","")&amp;IF(AND(BA57=1,Skills!$E$20=1),Skills!$B$8&amp;", ","")&amp;IF(AND(BB57=1,Skills!$F$20=1),Skills!$B$9&amp;", ","")&amp;IF(AND(BC57=1,Skills!$G$20=1),Skills!$B$10&amp;", ","")&amp;IF(AND(BD57=1,Skills!$H$20=1),Skills!$B$11&amp;", ","")&amp;IF(AND(BE57=1,Skills!$I$20=1),Skills!$B$12&amp;", ","")&amp;IF(AND(BF57=1,Skills!$J$20=1),Skills!$B$13&amp;", ","")&amp;IF(AND(BG57=1,Skills!$K$20=1),Skills!$B$14&amp;", ","")&amp;IF(AND(BH57=1,Skills!$L$20=1),Skills!$B$15&amp;", ","")&amp;IF(AND(BI57=1,Skills!$M$20=1),Skills!$B$16&amp;", ",""))="","",LEFT(IF(AND(AX57=1,Skills!$B$20=1),Skills!$B$5&amp;", ","")&amp;IF(AND(AY57=1,Skills!$C$20=1),Skills!$B$6&amp;", ","")&amp;IF(AND(AZ57=1,Skills!$D$20=1),Skills!$B$7&amp;", ","")&amp;IF(AND(BA57=1,Skills!$E$20=1),Skills!$B$8&amp;", ","")&amp;IF(AND(BB57=1,Skills!$F$20=1),Skills!$B$9&amp;", ","")&amp;IF(AND(BC57=1,Skills!$G$20=1),Skills!$B$10&amp;", ","")&amp;IF(AND(BD57=1,Skills!$H$20=1),Skills!$B$11&amp;", ","")&amp;IF(AND(BE57=1,Skills!$I$20=1),Skills!$B$12&amp;", ","")&amp;IF(AND(BF57=1,Skills!$J$20=1),Skills!$B$13&amp;", ","")&amp;IF(AND(BG57=1,Skills!$K$20=1),Skills!$B$14&amp;", ","")&amp;IF(AND(BH57=1,Skills!$L$20=1),Skills!$B$15&amp;", ","")&amp;IF(AND(BI57=1,Skills!$M$20=1),Skills!$B$16&amp;", ",""),LEN(IF(AND(AX57=1,Skills!$B$20=1),Skills!$B$5&amp;", ","")&amp;IF(AND(AY57=1,Skills!$C$20=1),Skills!$B$6&amp;", ","")&amp;IF(AND(AZ57=1,Skills!$D$20=1),Skills!$B$7&amp;", ","")&amp;IF(AND(BA57=1,Skills!$E$20=1),Skills!$B$8&amp;", ","")&amp;IF(AND(BB57=1,Skills!$F$20=1),Skills!$B$9&amp;", ","")&amp;IF(AND(BC57=1,Skills!$G$20=1),Skills!$B$10&amp;", ","")&amp;IF(AND(BD57=1,Skills!$H$20=1),Skills!$B$11&amp;", ","")&amp;IF(AND(BE57=1,Skills!$I$20=1),Skills!$B$12&amp;", ","")&amp;IF(AND(BF57=1,Skills!$J$20=1),Skills!$B$13&amp;", ","")&amp;IF(AND(BG57=1,Skills!$K$20=1),Skills!$B$14&amp;", ","")&amp;IF(AND(BH57=1,Skills!$L$20=1),Skills!$B$15&amp;", ","")&amp;IF(AND(BI57=1,Skills!$M$20=1),Skills!$B$16&amp;", ",""))-2)))</f>
        <v/>
      </c>
    </row>
    <row r="58">
      <c r="AD58" s="20" t="n"/>
      <c r="AE58" s="20" t="n"/>
      <c r="AF58" s="20" t="n"/>
      <c r="AG58" s="20" t="n"/>
      <c r="AH58" s="20" t="n"/>
      <c r="AI58" s="20" t="n"/>
      <c r="AJ58" s="20" t="n"/>
      <c r="AK58" s="20" t="n"/>
      <c r="AL58" s="20" t="n"/>
      <c r="AM58" s="20" t="n"/>
      <c r="AN58" s="20" t="n"/>
      <c r="AO58" s="20" t="n"/>
      <c r="AP58" s="20" t="n"/>
      <c r="AR58" s="31">
        <f>IF(IFERROR(TRIM(INDEX($A58:$AB58,MATCH(Lists!$B$5,$A$1:$AB$1,0))&amp;""),"")&lt;&gt;"",IFERROR(TRIM(INDEX($A58:$AB58,MATCH(Lists!$B$5,$A$1:$AB$1,0))&amp;""),""),IFERROR(TRIM(INDEX($A58:$AB58,MATCH(Lists!$B$3,$A$1:$AB$1,0))&amp;""),""))</f>
        <v/>
      </c>
      <c r="AS58" s="31">
        <f>IF(AR58="","",IF(IFERROR(TRIM(INDEX($A58:$AB58,MATCH(Lists!$B$5,$A$1:$AB$1,0))&amp;""),"")&lt;&gt;"","Nominated","Applied"))</f>
        <v/>
      </c>
      <c r="AT58" s="31">
        <f>IF(AR58="","",IF(IFERROR(TRIM(INDEX($A58:$AB58,MATCH(Lists!$B$5,$A$1:$AB$1,0))&amp;""),"")&lt;&gt;"",IFERROR(TRIM(INDEX($A58:$AB58,MATCH(Lists!$B$6,$A$1:$AB$1,0))&amp;""),""),IFERROR(TRIM(INDEX($A58:$AB58,MATCH(Lists!$B$4,$A$1:$AB$1,0))&amp;""),"")))</f>
        <v/>
      </c>
      <c r="AU58" s="31">
        <f>IF(AR58="","",IFERROR(TRIM(INDEX($A58:$AB58,MATCH(Lists!$B$7,$A$1:$AB$1,0))&amp;""),""))</f>
        <v/>
      </c>
      <c r="AV58" s="31">
        <f>IF(AR58="","",IFERROR(TRIM(INDEX($A58:$AB58,MATCH(Lists!$B$9,$A$1:$AB$1,0))&amp;""),""))</f>
        <v/>
      </c>
      <c r="AW58" s="31">
        <f>IF(AR58="","",IFERROR(TRIM(INDEX($A58:$AB58,MATCH(Lists!$B$8,$A$1:$AB$1,0))&amp;""),""))</f>
        <v/>
      </c>
      <c r="AX58" s="23">
        <f>IF(AR58="","",IF(OR(TRIM(AE58&amp;"")&lt;&gt;"",AND(Skills!$B$5&lt;&gt;"",ISNUMBER(SEARCH(Skills!$B$5,AU58)))),1,0))</f>
        <v/>
      </c>
      <c r="AY58" s="23">
        <f>IF(AR58="","",IF(OR(TRIM(AF58&amp;"")&lt;&gt;"",AND(Skills!$B$6&lt;&gt;"",ISNUMBER(SEARCH(Skills!$B$6,AU58)))),1,0))</f>
        <v/>
      </c>
      <c r="AZ58" s="23">
        <f>IF(AR58="","",IF(OR(TRIM(AG58&amp;"")&lt;&gt;"",AND(Skills!$B$7&lt;&gt;"",ISNUMBER(SEARCH(Skills!$B$7,AU58)))),1,0))</f>
        <v/>
      </c>
      <c r="BA58" s="23">
        <f>IF(AR58="","",IF(OR(TRIM(AH58&amp;"")&lt;&gt;"",AND(Skills!$B$8&lt;&gt;"",ISNUMBER(SEARCH(Skills!$B$8,AU58)))),1,0))</f>
        <v/>
      </c>
      <c r="BB58" s="23">
        <f>IF(AR58="","",IF(OR(TRIM(AI58&amp;"")&lt;&gt;"",AND(Skills!$B$9&lt;&gt;"",ISNUMBER(SEARCH(Skills!$B$9,AU58)))),1,0))</f>
        <v/>
      </c>
      <c r="BC58" s="23">
        <f>IF(AR58="","",IF(OR(TRIM(AJ58&amp;"")&lt;&gt;"",AND(Skills!$B$10&lt;&gt;"",ISNUMBER(SEARCH(Skills!$B$10,AU58)))),1,0))</f>
        <v/>
      </c>
      <c r="BD58" s="23">
        <f>IF(AR58="","",IF(OR(TRIM(AK58&amp;"")&lt;&gt;"",AND(Skills!$B$11&lt;&gt;"",ISNUMBER(SEARCH(Skills!$B$11,AU58)))),1,0))</f>
        <v/>
      </c>
      <c r="BE58" s="23">
        <f>IF(AR58="","",IF(OR(TRIM(AL58&amp;"")&lt;&gt;"",AND(Skills!$B$12&lt;&gt;"",ISNUMBER(SEARCH(Skills!$B$12,AU58)))),1,0))</f>
        <v/>
      </c>
      <c r="BF58" s="23">
        <f>IF(AR58="","",IF(OR(TRIM(AM58&amp;"")&lt;&gt;"",AND(Skills!$B$13&lt;&gt;"",ISNUMBER(SEARCH(Skills!$B$13,AU58)))),1,0))</f>
        <v/>
      </c>
      <c r="BG58" s="23">
        <f>IF(AR58="","",IF(OR(TRIM(AN58&amp;"")&lt;&gt;"",AND(Skills!$B$14&lt;&gt;"",ISNUMBER(SEARCH(Skills!$B$14,AU58)))),1,0))</f>
        <v/>
      </c>
      <c r="BH58" s="23">
        <f>IF(AR58="","",IF(OR(TRIM(AO58&amp;"")&lt;&gt;"",AND(Skills!$B$15&lt;&gt;"",ISNUMBER(SEARCH(Skills!$B$15,AU58)))),1,0))</f>
        <v/>
      </c>
      <c r="BI58" s="23">
        <f>IF(AR58="","",IF(OR(TRIM(AP58&amp;"")&lt;&gt;"",AND(Skills!$B$16&lt;&gt;"",ISNUMBER(SEARCH(Skills!$B$16,AU58)))),1,0))</f>
        <v/>
      </c>
      <c r="BJ58" s="23">
        <f>IF(AR58="","",SUMPRODUCT($AX58:$BI58,Skills!$B$20:$M$20))</f>
        <v/>
      </c>
      <c r="BK58" s="23">
        <f>IF(AR58="","",BJ58*100000+(100000-ROW()))</f>
        <v/>
      </c>
      <c r="BL58" s="31">
        <f>IF(AR58="","",IF((IF(AND(AX58=1,Skills!$B$20=1),Skills!$B$5&amp;", ","")&amp;IF(AND(AY58=1,Skills!$C$20=1),Skills!$B$6&amp;", ","")&amp;IF(AND(AZ58=1,Skills!$D$20=1),Skills!$B$7&amp;", ","")&amp;IF(AND(BA58=1,Skills!$E$20=1),Skills!$B$8&amp;", ","")&amp;IF(AND(BB58=1,Skills!$F$20=1),Skills!$B$9&amp;", ","")&amp;IF(AND(BC58=1,Skills!$G$20=1),Skills!$B$10&amp;", ","")&amp;IF(AND(BD58=1,Skills!$H$20=1),Skills!$B$11&amp;", ","")&amp;IF(AND(BE58=1,Skills!$I$20=1),Skills!$B$12&amp;", ","")&amp;IF(AND(BF58=1,Skills!$J$20=1),Skills!$B$13&amp;", ","")&amp;IF(AND(BG58=1,Skills!$K$20=1),Skills!$B$14&amp;", ","")&amp;IF(AND(BH58=1,Skills!$L$20=1),Skills!$B$15&amp;", ","")&amp;IF(AND(BI58=1,Skills!$M$20=1),Skills!$B$16&amp;", ",""))="","",LEFT(IF(AND(AX58=1,Skills!$B$20=1),Skills!$B$5&amp;", ","")&amp;IF(AND(AY58=1,Skills!$C$20=1),Skills!$B$6&amp;", ","")&amp;IF(AND(AZ58=1,Skills!$D$20=1),Skills!$B$7&amp;", ","")&amp;IF(AND(BA58=1,Skills!$E$20=1),Skills!$B$8&amp;", ","")&amp;IF(AND(BB58=1,Skills!$F$20=1),Skills!$B$9&amp;", ","")&amp;IF(AND(BC58=1,Skills!$G$20=1),Skills!$B$10&amp;", ","")&amp;IF(AND(BD58=1,Skills!$H$20=1),Skills!$B$11&amp;", ","")&amp;IF(AND(BE58=1,Skills!$I$20=1),Skills!$B$12&amp;", ","")&amp;IF(AND(BF58=1,Skills!$J$20=1),Skills!$B$13&amp;", ","")&amp;IF(AND(BG58=1,Skills!$K$20=1),Skills!$B$14&amp;", ","")&amp;IF(AND(BH58=1,Skills!$L$20=1),Skills!$B$15&amp;", ","")&amp;IF(AND(BI58=1,Skills!$M$20=1),Skills!$B$16&amp;", ",""),LEN(IF(AND(AX58=1,Skills!$B$20=1),Skills!$B$5&amp;", ","")&amp;IF(AND(AY58=1,Skills!$C$20=1),Skills!$B$6&amp;", ","")&amp;IF(AND(AZ58=1,Skills!$D$20=1),Skills!$B$7&amp;", ","")&amp;IF(AND(BA58=1,Skills!$E$20=1),Skills!$B$8&amp;", ","")&amp;IF(AND(BB58=1,Skills!$F$20=1),Skills!$B$9&amp;", ","")&amp;IF(AND(BC58=1,Skills!$G$20=1),Skills!$B$10&amp;", ","")&amp;IF(AND(BD58=1,Skills!$H$20=1),Skills!$B$11&amp;", ","")&amp;IF(AND(BE58=1,Skills!$I$20=1),Skills!$B$12&amp;", ","")&amp;IF(AND(BF58=1,Skills!$J$20=1),Skills!$B$13&amp;", ","")&amp;IF(AND(BG58=1,Skills!$K$20=1),Skills!$B$14&amp;", ","")&amp;IF(AND(BH58=1,Skills!$L$20=1),Skills!$B$15&amp;", ","")&amp;IF(AND(BI58=1,Skills!$M$20=1),Skills!$B$16&amp;", ",""))-2)))</f>
        <v/>
      </c>
    </row>
    <row r="59">
      <c r="AD59" s="20" t="n"/>
      <c r="AE59" s="20" t="n"/>
      <c r="AF59" s="20" t="n"/>
      <c r="AG59" s="20" t="n"/>
      <c r="AH59" s="20" t="n"/>
      <c r="AI59" s="20" t="n"/>
      <c r="AJ59" s="20" t="n"/>
      <c r="AK59" s="20" t="n"/>
      <c r="AL59" s="20" t="n"/>
      <c r="AM59" s="20" t="n"/>
      <c r="AN59" s="20" t="n"/>
      <c r="AO59" s="20" t="n"/>
      <c r="AP59" s="20" t="n"/>
      <c r="AR59" s="31">
        <f>IF(IFERROR(TRIM(INDEX($A59:$AB59,MATCH(Lists!$B$5,$A$1:$AB$1,0))&amp;""),"")&lt;&gt;"",IFERROR(TRIM(INDEX($A59:$AB59,MATCH(Lists!$B$5,$A$1:$AB$1,0))&amp;""),""),IFERROR(TRIM(INDEX($A59:$AB59,MATCH(Lists!$B$3,$A$1:$AB$1,0))&amp;""),""))</f>
        <v/>
      </c>
      <c r="AS59" s="31">
        <f>IF(AR59="","",IF(IFERROR(TRIM(INDEX($A59:$AB59,MATCH(Lists!$B$5,$A$1:$AB$1,0))&amp;""),"")&lt;&gt;"","Nominated","Applied"))</f>
        <v/>
      </c>
      <c r="AT59" s="31">
        <f>IF(AR59="","",IF(IFERROR(TRIM(INDEX($A59:$AB59,MATCH(Lists!$B$5,$A$1:$AB$1,0))&amp;""),"")&lt;&gt;"",IFERROR(TRIM(INDEX($A59:$AB59,MATCH(Lists!$B$6,$A$1:$AB$1,0))&amp;""),""),IFERROR(TRIM(INDEX($A59:$AB59,MATCH(Lists!$B$4,$A$1:$AB$1,0))&amp;""),"")))</f>
        <v/>
      </c>
      <c r="AU59" s="31">
        <f>IF(AR59="","",IFERROR(TRIM(INDEX($A59:$AB59,MATCH(Lists!$B$7,$A$1:$AB$1,0))&amp;""),""))</f>
        <v/>
      </c>
      <c r="AV59" s="31">
        <f>IF(AR59="","",IFERROR(TRIM(INDEX($A59:$AB59,MATCH(Lists!$B$9,$A$1:$AB$1,0))&amp;""),""))</f>
        <v/>
      </c>
      <c r="AW59" s="31">
        <f>IF(AR59="","",IFERROR(TRIM(INDEX($A59:$AB59,MATCH(Lists!$B$8,$A$1:$AB$1,0))&amp;""),""))</f>
        <v/>
      </c>
      <c r="AX59" s="23">
        <f>IF(AR59="","",IF(OR(TRIM(AE59&amp;"")&lt;&gt;"",AND(Skills!$B$5&lt;&gt;"",ISNUMBER(SEARCH(Skills!$B$5,AU59)))),1,0))</f>
        <v/>
      </c>
      <c r="AY59" s="23">
        <f>IF(AR59="","",IF(OR(TRIM(AF59&amp;"")&lt;&gt;"",AND(Skills!$B$6&lt;&gt;"",ISNUMBER(SEARCH(Skills!$B$6,AU59)))),1,0))</f>
        <v/>
      </c>
      <c r="AZ59" s="23">
        <f>IF(AR59="","",IF(OR(TRIM(AG59&amp;"")&lt;&gt;"",AND(Skills!$B$7&lt;&gt;"",ISNUMBER(SEARCH(Skills!$B$7,AU59)))),1,0))</f>
        <v/>
      </c>
      <c r="BA59" s="23">
        <f>IF(AR59="","",IF(OR(TRIM(AH59&amp;"")&lt;&gt;"",AND(Skills!$B$8&lt;&gt;"",ISNUMBER(SEARCH(Skills!$B$8,AU59)))),1,0))</f>
        <v/>
      </c>
      <c r="BB59" s="23">
        <f>IF(AR59="","",IF(OR(TRIM(AI59&amp;"")&lt;&gt;"",AND(Skills!$B$9&lt;&gt;"",ISNUMBER(SEARCH(Skills!$B$9,AU59)))),1,0))</f>
        <v/>
      </c>
      <c r="BC59" s="23">
        <f>IF(AR59="","",IF(OR(TRIM(AJ59&amp;"")&lt;&gt;"",AND(Skills!$B$10&lt;&gt;"",ISNUMBER(SEARCH(Skills!$B$10,AU59)))),1,0))</f>
        <v/>
      </c>
      <c r="BD59" s="23">
        <f>IF(AR59="","",IF(OR(TRIM(AK59&amp;"")&lt;&gt;"",AND(Skills!$B$11&lt;&gt;"",ISNUMBER(SEARCH(Skills!$B$11,AU59)))),1,0))</f>
        <v/>
      </c>
      <c r="BE59" s="23">
        <f>IF(AR59="","",IF(OR(TRIM(AL59&amp;"")&lt;&gt;"",AND(Skills!$B$12&lt;&gt;"",ISNUMBER(SEARCH(Skills!$B$12,AU59)))),1,0))</f>
        <v/>
      </c>
      <c r="BF59" s="23">
        <f>IF(AR59="","",IF(OR(TRIM(AM59&amp;"")&lt;&gt;"",AND(Skills!$B$13&lt;&gt;"",ISNUMBER(SEARCH(Skills!$B$13,AU59)))),1,0))</f>
        <v/>
      </c>
      <c r="BG59" s="23">
        <f>IF(AR59="","",IF(OR(TRIM(AN59&amp;"")&lt;&gt;"",AND(Skills!$B$14&lt;&gt;"",ISNUMBER(SEARCH(Skills!$B$14,AU59)))),1,0))</f>
        <v/>
      </c>
      <c r="BH59" s="23">
        <f>IF(AR59="","",IF(OR(TRIM(AO59&amp;"")&lt;&gt;"",AND(Skills!$B$15&lt;&gt;"",ISNUMBER(SEARCH(Skills!$B$15,AU59)))),1,0))</f>
        <v/>
      </c>
      <c r="BI59" s="23">
        <f>IF(AR59="","",IF(OR(TRIM(AP59&amp;"")&lt;&gt;"",AND(Skills!$B$16&lt;&gt;"",ISNUMBER(SEARCH(Skills!$B$16,AU59)))),1,0))</f>
        <v/>
      </c>
      <c r="BJ59" s="23">
        <f>IF(AR59="","",SUMPRODUCT($AX59:$BI59,Skills!$B$20:$M$20))</f>
        <v/>
      </c>
      <c r="BK59" s="23">
        <f>IF(AR59="","",BJ59*100000+(100000-ROW()))</f>
        <v/>
      </c>
      <c r="BL59" s="31">
        <f>IF(AR59="","",IF((IF(AND(AX59=1,Skills!$B$20=1),Skills!$B$5&amp;", ","")&amp;IF(AND(AY59=1,Skills!$C$20=1),Skills!$B$6&amp;", ","")&amp;IF(AND(AZ59=1,Skills!$D$20=1),Skills!$B$7&amp;", ","")&amp;IF(AND(BA59=1,Skills!$E$20=1),Skills!$B$8&amp;", ","")&amp;IF(AND(BB59=1,Skills!$F$20=1),Skills!$B$9&amp;", ","")&amp;IF(AND(BC59=1,Skills!$G$20=1),Skills!$B$10&amp;", ","")&amp;IF(AND(BD59=1,Skills!$H$20=1),Skills!$B$11&amp;", ","")&amp;IF(AND(BE59=1,Skills!$I$20=1),Skills!$B$12&amp;", ","")&amp;IF(AND(BF59=1,Skills!$J$20=1),Skills!$B$13&amp;", ","")&amp;IF(AND(BG59=1,Skills!$K$20=1),Skills!$B$14&amp;", ","")&amp;IF(AND(BH59=1,Skills!$L$20=1),Skills!$B$15&amp;", ","")&amp;IF(AND(BI59=1,Skills!$M$20=1),Skills!$B$16&amp;", ",""))="","",LEFT(IF(AND(AX59=1,Skills!$B$20=1),Skills!$B$5&amp;", ","")&amp;IF(AND(AY59=1,Skills!$C$20=1),Skills!$B$6&amp;", ","")&amp;IF(AND(AZ59=1,Skills!$D$20=1),Skills!$B$7&amp;", ","")&amp;IF(AND(BA59=1,Skills!$E$20=1),Skills!$B$8&amp;", ","")&amp;IF(AND(BB59=1,Skills!$F$20=1),Skills!$B$9&amp;", ","")&amp;IF(AND(BC59=1,Skills!$G$20=1),Skills!$B$10&amp;", ","")&amp;IF(AND(BD59=1,Skills!$H$20=1),Skills!$B$11&amp;", ","")&amp;IF(AND(BE59=1,Skills!$I$20=1),Skills!$B$12&amp;", ","")&amp;IF(AND(BF59=1,Skills!$J$20=1),Skills!$B$13&amp;", ","")&amp;IF(AND(BG59=1,Skills!$K$20=1),Skills!$B$14&amp;", ","")&amp;IF(AND(BH59=1,Skills!$L$20=1),Skills!$B$15&amp;", ","")&amp;IF(AND(BI59=1,Skills!$M$20=1),Skills!$B$16&amp;", ",""),LEN(IF(AND(AX59=1,Skills!$B$20=1),Skills!$B$5&amp;", ","")&amp;IF(AND(AY59=1,Skills!$C$20=1),Skills!$B$6&amp;", ","")&amp;IF(AND(AZ59=1,Skills!$D$20=1),Skills!$B$7&amp;", ","")&amp;IF(AND(BA59=1,Skills!$E$20=1),Skills!$B$8&amp;", ","")&amp;IF(AND(BB59=1,Skills!$F$20=1),Skills!$B$9&amp;", ","")&amp;IF(AND(BC59=1,Skills!$G$20=1),Skills!$B$10&amp;", ","")&amp;IF(AND(BD59=1,Skills!$H$20=1),Skills!$B$11&amp;", ","")&amp;IF(AND(BE59=1,Skills!$I$20=1),Skills!$B$12&amp;", ","")&amp;IF(AND(BF59=1,Skills!$J$20=1),Skills!$B$13&amp;", ","")&amp;IF(AND(BG59=1,Skills!$K$20=1),Skills!$B$14&amp;", ","")&amp;IF(AND(BH59=1,Skills!$L$20=1),Skills!$B$15&amp;", ","")&amp;IF(AND(BI59=1,Skills!$M$20=1),Skills!$B$16&amp;", ",""))-2)))</f>
        <v/>
      </c>
    </row>
    <row r="60">
      <c r="AD60" s="20" t="n"/>
      <c r="AE60" s="20" t="n"/>
      <c r="AF60" s="20" t="n"/>
      <c r="AG60" s="20" t="n"/>
      <c r="AH60" s="20" t="n"/>
      <c r="AI60" s="20" t="n"/>
      <c r="AJ60" s="20" t="n"/>
      <c r="AK60" s="20" t="n"/>
      <c r="AL60" s="20" t="n"/>
      <c r="AM60" s="20" t="n"/>
      <c r="AN60" s="20" t="n"/>
      <c r="AO60" s="20" t="n"/>
      <c r="AP60" s="20" t="n"/>
      <c r="AR60" s="31">
        <f>IF(IFERROR(TRIM(INDEX($A60:$AB60,MATCH(Lists!$B$5,$A$1:$AB$1,0))&amp;""),"")&lt;&gt;"",IFERROR(TRIM(INDEX($A60:$AB60,MATCH(Lists!$B$5,$A$1:$AB$1,0))&amp;""),""),IFERROR(TRIM(INDEX($A60:$AB60,MATCH(Lists!$B$3,$A$1:$AB$1,0))&amp;""),""))</f>
        <v/>
      </c>
      <c r="AS60" s="31">
        <f>IF(AR60="","",IF(IFERROR(TRIM(INDEX($A60:$AB60,MATCH(Lists!$B$5,$A$1:$AB$1,0))&amp;""),"")&lt;&gt;"","Nominated","Applied"))</f>
        <v/>
      </c>
      <c r="AT60" s="31">
        <f>IF(AR60="","",IF(IFERROR(TRIM(INDEX($A60:$AB60,MATCH(Lists!$B$5,$A$1:$AB$1,0))&amp;""),"")&lt;&gt;"",IFERROR(TRIM(INDEX($A60:$AB60,MATCH(Lists!$B$6,$A$1:$AB$1,0))&amp;""),""),IFERROR(TRIM(INDEX($A60:$AB60,MATCH(Lists!$B$4,$A$1:$AB$1,0))&amp;""),"")))</f>
        <v/>
      </c>
      <c r="AU60" s="31">
        <f>IF(AR60="","",IFERROR(TRIM(INDEX($A60:$AB60,MATCH(Lists!$B$7,$A$1:$AB$1,0))&amp;""),""))</f>
        <v/>
      </c>
      <c r="AV60" s="31">
        <f>IF(AR60="","",IFERROR(TRIM(INDEX($A60:$AB60,MATCH(Lists!$B$9,$A$1:$AB$1,0))&amp;""),""))</f>
        <v/>
      </c>
      <c r="AW60" s="31">
        <f>IF(AR60="","",IFERROR(TRIM(INDEX($A60:$AB60,MATCH(Lists!$B$8,$A$1:$AB$1,0))&amp;""),""))</f>
        <v/>
      </c>
      <c r="AX60" s="23">
        <f>IF(AR60="","",IF(OR(TRIM(AE60&amp;"")&lt;&gt;"",AND(Skills!$B$5&lt;&gt;"",ISNUMBER(SEARCH(Skills!$B$5,AU60)))),1,0))</f>
        <v/>
      </c>
      <c r="AY60" s="23">
        <f>IF(AR60="","",IF(OR(TRIM(AF60&amp;"")&lt;&gt;"",AND(Skills!$B$6&lt;&gt;"",ISNUMBER(SEARCH(Skills!$B$6,AU60)))),1,0))</f>
        <v/>
      </c>
      <c r="AZ60" s="23">
        <f>IF(AR60="","",IF(OR(TRIM(AG60&amp;"")&lt;&gt;"",AND(Skills!$B$7&lt;&gt;"",ISNUMBER(SEARCH(Skills!$B$7,AU60)))),1,0))</f>
        <v/>
      </c>
      <c r="BA60" s="23">
        <f>IF(AR60="","",IF(OR(TRIM(AH60&amp;"")&lt;&gt;"",AND(Skills!$B$8&lt;&gt;"",ISNUMBER(SEARCH(Skills!$B$8,AU60)))),1,0))</f>
        <v/>
      </c>
      <c r="BB60" s="23">
        <f>IF(AR60="","",IF(OR(TRIM(AI60&amp;"")&lt;&gt;"",AND(Skills!$B$9&lt;&gt;"",ISNUMBER(SEARCH(Skills!$B$9,AU60)))),1,0))</f>
        <v/>
      </c>
      <c r="BC60" s="23">
        <f>IF(AR60="","",IF(OR(TRIM(AJ60&amp;"")&lt;&gt;"",AND(Skills!$B$10&lt;&gt;"",ISNUMBER(SEARCH(Skills!$B$10,AU60)))),1,0))</f>
        <v/>
      </c>
      <c r="BD60" s="23">
        <f>IF(AR60="","",IF(OR(TRIM(AK60&amp;"")&lt;&gt;"",AND(Skills!$B$11&lt;&gt;"",ISNUMBER(SEARCH(Skills!$B$11,AU60)))),1,0))</f>
        <v/>
      </c>
      <c r="BE60" s="23">
        <f>IF(AR60="","",IF(OR(TRIM(AL60&amp;"")&lt;&gt;"",AND(Skills!$B$12&lt;&gt;"",ISNUMBER(SEARCH(Skills!$B$12,AU60)))),1,0))</f>
        <v/>
      </c>
      <c r="BF60" s="23">
        <f>IF(AR60="","",IF(OR(TRIM(AM60&amp;"")&lt;&gt;"",AND(Skills!$B$13&lt;&gt;"",ISNUMBER(SEARCH(Skills!$B$13,AU60)))),1,0))</f>
        <v/>
      </c>
      <c r="BG60" s="23">
        <f>IF(AR60="","",IF(OR(TRIM(AN60&amp;"")&lt;&gt;"",AND(Skills!$B$14&lt;&gt;"",ISNUMBER(SEARCH(Skills!$B$14,AU60)))),1,0))</f>
        <v/>
      </c>
      <c r="BH60" s="23">
        <f>IF(AR60="","",IF(OR(TRIM(AO60&amp;"")&lt;&gt;"",AND(Skills!$B$15&lt;&gt;"",ISNUMBER(SEARCH(Skills!$B$15,AU60)))),1,0))</f>
        <v/>
      </c>
      <c r="BI60" s="23">
        <f>IF(AR60="","",IF(OR(TRIM(AP60&amp;"")&lt;&gt;"",AND(Skills!$B$16&lt;&gt;"",ISNUMBER(SEARCH(Skills!$B$16,AU60)))),1,0))</f>
        <v/>
      </c>
      <c r="BJ60" s="23">
        <f>IF(AR60="","",SUMPRODUCT($AX60:$BI60,Skills!$B$20:$M$20))</f>
        <v/>
      </c>
      <c r="BK60" s="23">
        <f>IF(AR60="","",BJ60*100000+(100000-ROW()))</f>
        <v/>
      </c>
      <c r="BL60" s="31">
        <f>IF(AR60="","",IF((IF(AND(AX60=1,Skills!$B$20=1),Skills!$B$5&amp;", ","")&amp;IF(AND(AY60=1,Skills!$C$20=1),Skills!$B$6&amp;", ","")&amp;IF(AND(AZ60=1,Skills!$D$20=1),Skills!$B$7&amp;", ","")&amp;IF(AND(BA60=1,Skills!$E$20=1),Skills!$B$8&amp;", ","")&amp;IF(AND(BB60=1,Skills!$F$20=1),Skills!$B$9&amp;", ","")&amp;IF(AND(BC60=1,Skills!$G$20=1),Skills!$B$10&amp;", ","")&amp;IF(AND(BD60=1,Skills!$H$20=1),Skills!$B$11&amp;", ","")&amp;IF(AND(BE60=1,Skills!$I$20=1),Skills!$B$12&amp;", ","")&amp;IF(AND(BF60=1,Skills!$J$20=1),Skills!$B$13&amp;", ","")&amp;IF(AND(BG60=1,Skills!$K$20=1),Skills!$B$14&amp;", ","")&amp;IF(AND(BH60=1,Skills!$L$20=1),Skills!$B$15&amp;", ","")&amp;IF(AND(BI60=1,Skills!$M$20=1),Skills!$B$16&amp;", ",""))="","",LEFT(IF(AND(AX60=1,Skills!$B$20=1),Skills!$B$5&amp;", ","")&amp;IF(AND(AY60=1,Skills!$C$20=1),Skills!$B$6&amp;", ","")&amp;IF(AND(AZ60=1,Skills!$D$20=1),Skills!$B$7&amp;", ","")&amp;IF(AND(BA60=1,Skills!$E$20=1),Skills!$B$8&amp;", ","")&amp;IF(AND(BB60=1,Skills!$F$20=1),Skills!$B$9&amp;", ","")&amp;IF(AND(BC60=1,Skills!$G$20=1),Skills!$B$10&amp;", ","")&amp;IF(AND(BD60=1,Skills!$H$20=1),Skills!$B$11&amp;", ","")&amp;IF(AND(BE60=1,Skills!$I$20=1),Skills!$B$12&amp;", ","")&amp;IF(AND(BF60=1,Skills!$J$20=1),Skills!$B$13&amp;", ","")&amp;IF(AND(BG60=1,Skills!$K$20=1),Skills!$B$14&amp;", ","")&amp;IF(AND(BH60=1,Skills!$L$20=1),Skills!$B$15&amp;", ","")&amp;IF(AND(BI60=1,Skills!$M$20=1),Skills!$B$16&amp;", ",""),LEN(IF(AND(AX60=1,Skills!$B$20=1),Skills!$B$5&amp;", ","")&amp;IF(AND(AY60=1,Skills!$C$20=1),Skills!$B$6&amp;", ","")&amp;IF(AND(AZ60=1,Skills!$D$20=1),Skills!$B$7&amp;", ","")&amp;IF(AND(BA60=1,Skills!$E$20=1),Skills!$B$8&amp;", ","")&amp;IF(AND(BB60=1,Skills!$F$20=1),Skills!$B$9&amp;", ","")&amp;IF(AND(BC60=1,Skills!$G$20=1),Skills!$B$10&amp;", ","")&amp;IF(AND(BD60=1,Skills!$H$20=1),Skills!$B$11&amp;", ","")&amp;IF(AND(BE60=1,Skills!$I$20=1),Skills!$B$12&amp;", ","")&amp;IF(AND(BF60=1,Skills!$J$20=1),Skills!$B$13&amp;", ","")&amp;IF(AND(BG60=1,Skills!$K$20=1),Skills!$B$14&amp;", ","")&amp;IF(AND(BH60=1,Skills!$L$20=1),Skills!$B$15&amp;", ","")&amp;IF(AND(BI60=1,Skills!$M$20=1),Skills!$B$16&amp;", ",""))-2)))</f>
        <v/>
      </c>
    </row>
    <row r="61">
      <c r="AD61" s="20" t="n"/>
      <c r="AE61" s="20" t="n"/>
      <c r="AF61" s="20" t="n"/>
      <c r="AG61" s="20" t="n"/>
      <c r="AH61" s="20" t="n"/>
      <c r="AI61" s="20" t="n"/>
      <c r="AJ61" s="20" t="n"/>
      <c r="AK61" s="20" t="n"/>
      <c r="AL61" s="20" t="n"/>
      <c r="AM61" s="20" t="n"/>
      <c r="AN61" s="20" t="n"/>
      <c r="AO61" s="20" t="n"/>
      <c r="AP61" s="20" t="n"/>
      <c r="AR61" s="31">
        <f>IF(IFERROR(TRIM(INDEX($A61:$AB61,MATCH(Lists!$B$5,$A$1:$AB$1,0))&amp;""),"")&lt;&gt;"",IFERROR(TRIM(INDEX($A61:$AB61,MATCH(Lists!$B$5,$A$1:$AB$1,0))&amp;""),""),IFERROR(TRIM(INDEX($A61:$AB61,MATCH(Lists!$B$3,$A$1:$AB$1,0))&amp;""),""))</f>
        <v/>
      </c>
      <c r="AS61" s="31">
        <f>IF(AR61="","",IF(IFERROR(TRIM(INDEX($A61:$AB61,MATCH(Lists!$B$5,$A$1:$AB$1,0))&amp;""),"")&lt;&gt;"","Nominated","Applied"))</f>
        <v/>
      </c>
      <c r="AT61" s="31">
        <f>IF(AR61="","",IF(IFERROR(TRIM(INDEX($A61:$AB61,MATCH(Lists!$B$5,$A$1:$AB$1,0))&amp;""),"")&lt;&gt;"",IFERROR(TRIM(INDEX($A61:$AB61,MATCH(Lists!$B$6,$A$1:$AB$1,0))&amp;""),""),IFERROR(TRIM(INDEX($A61:$AB61,MATCH(Lists!$B$4,$A$1:$AB$1,0))&amp;""),"")))</f>
        <v/>
      </c>
      <c r="AU61" s="31">
        <f>IF(AR61="","",IFERROR(TRIM(INDEX($A61:$AB61,MATCH(Lists!$B$7,$A$1:$AB$1,0))&amp;""),""))</f>
        <v/>
      </c>
      <c r="AV61" s="31">
        <f>IF(AR61="","",IFERROR(TRIM(INDEX($A61:$AB61,MATCH(Lists!$B$9,$A$1:$AB$1,0))&amp;""),""))</f>
        <v/>
      </c>
      <c r="AW61" s="31">
        <f>IF(AR61="","",IFERROR(TRIM(INDEX($A61:$AB61,MATCH(Lists!$B$8,$A$1:$AB$1,0))&amp;""),""))</f>
        <v/>
      </c>
      <c r="AX61" s="23">
        <f>IF(AR61="","",IF(OR(TRIM(AE61&amp;"")&lt;&gt;"",AND(Skills!$B$5&lt;&gt;"",ISNUMBER(SEARCH(Skills!$B$5,AU61)))),1,0))</f>
        <v/>
      </c>
      <c r="AY61" s="23">
        <f>IF(AR61="","",IF(OR(TRIM(AF61&amp;"")&lt;&gt;"",AND(Skills!$B$6&lt;&gt;"",ISNUMBER(SEARCH(Skills!$B$6,AU61)))),1,0))</f>
        <v/>
      </c>
      <c r="AZ61" s="23">
        <f>IF(AR61="","",IF(OR(TRIM(AG61&amp;"")&lt;&gt;"",AND(Skills!$B$7&lt;&gt;"",ISNUMBER(SEARCH(Skills!$B$7,AU61)))),1,0))</f>
        <v/>
      </c>
      <c r="BA61" s="23">
        <f>IF(AR61="","",IF(OR(TRIM(AH61&amp;"")&lt;&gt;"",AND(Skills!$B$8&lt;&gt;"",ISNUMBER(SEARCH(Skills!$B$8,AU61)))),1,0))</f>
        <v/>
      </c>
      <c r="BB61" s="23">
        <f>IF(AR61="","",IF(OR(TRIM(AI61&amp;"")&lt;&gt;"",AND(Skills!$B$9&lt;&gt;"",ISNUMBER(SEARCH(Skills!$B$9,AU61)))),1,0))</f>
        <v/>
      </c>
      <c r="BC61" s="23">
        <f>IF(AR61="","",IF(OR(TRIM(AJ61&amp;"")&lt;&gt;"",AND(Skills!$B$10&lt;&gt;"",ISNUMBER(SEARCH(Skills!$B$10,AU61)))),1,0))</f>
        <v/>
      </c>
      <c r="BD61" s="23">
        <f>IF(AR61="","",IF(OR(TRIM(AK61&amp;"")&lt;&gt;"",AND(Skills!$B$11&lt;&gt;"",ISNUMBER(SEARCH(Skills!$B$11,AU61)))),1,0))</f>
        <v/>
      </c>
      <c r="BE61" s="23">
        <f>IF(AR61="","",IF(OR(TRIM(AL61&amp;"")&lt;&gt;"",AND(Skills!$B$12&lt;&gt;"",ISNUMBER(SEARCH(Skills!$B$12,AU61)))),1,0))</f>
        <v/>
      </c>
      <c r="BF61" s="23">
        <f>IF(AR61="","",IF(OR(TRIM(AM61&amp;"")&lt;&gt;"",AND(Skills!$B$13&lt;&gt;"",ISNUMBER(SEARCH(Skills!$B$13,AU61)))),1,0))</f>
        <v/>
      </c>
      <c r="BG61" s="23">
        <f>IF(AR61="","",IF(OR(TRIM(AN61&amp;"")&lt;&gt;"",AND(Skills!$B$14&lt;&gt;"",ISNUMBER(SEARCH(Skills!$B$14,AU61)))),1,0))</f>
        <v/>
      </c>
      <c r="BH61" s="23">
        <f>IF(AR61="","",IF(OR(TRIM(AO61&amp;"")&lt;&gt;"",AND(Skills!$B$15&lt;&gt;"",ISNUMBER(SEARCH(Skills!$B$15,AU61)))),1,0))</f>
        <v/>
      </c>
      <c r="BI61" s="23">
        <f>IF(AR61="","",IF(OR(TRIM(AP61&amp;"")&lt;&gt;"",AND(Skills!$B$16&lt;&gt;"",ISNUMBER(SEARCH(Skills!$B$16,AU61)))),1,0))</f>
        <v/>
      </c>
      <c r="BJ61" s="23">
        <f>IF(AR61="","",SUMPRODUCT($AX61:$BI61,Skills!$B$20:$M$20))</f>
        <v/>
      </c>
      <c r="BK61" s="23">
        <f>IF(AR61="","",BJ61*100000+(100000-ROW()))</f>
        <v/>
      </c>
      <c r="BL61" s="31">
        <f>IF(AR61="","",IF((IF(AND(AX61=1,Skills!$B$20=1),Skills!$B$5&amp;", ","")&amp;IF(AND(AY61=1,Skills!$C$20=1),Skills!$B$6&amp;", ","")&amp;IF(AND(AZ61=1,Skills!$D$20=1),Skills!$B$7&amp;", ","")&amp;IF(AND(BA61=1,Skills!$E$20=1),Skills!$B$8&amp;", ","")&amp;IF(AND(BB61=1,Skills!$F$20=1),Skills!$B$9&amp;", ","")&amp;IF(AND(BC61=1,Skills!$G$20=1),Skills!$B$10&amp;", ","")&amp;IF(AND(BD61=1,Skills!$H$20=1),Skills!$B$11&amp;", ","")&amp;IF(AND(BE61=1,Skills!$I$20=1),Skills!$B$12&amp;", ","")&amp;IF(AND(BF61=1,Skills!$J$20=1),Skills!$B$13&amp;", ","")&amp;IF(AND(BG61=1,Skills!$K$20=1),Skills!$B$14&amp;", ","")&amp;IF(AND(BH61=1,Skills!$L$20=1),Skills!$B$15&amp;", ","")&amp;IF(AND(BI61=1,Skills!$M$20=1),Skills!$B$16&amp;", ",""))="","",LEFT(IF(AND(AX61=1,Skills!$B$20=1),Skills!$B$5&amp;", ","")&amp;IF(AND(AY61=1,Skills!$C$20=1),Skills!$B$6&amp;", ","")&amp;IF(AND(AZ61=1,Skills!$D$20=1),Skills!$B$7&amp;", ","")&amp;IF(AND(BA61=1,Skills!$E$20=1),Skills!$B$8&amp;", ","")&amp;IF(AND(BB61=1,Skills!$F$20=1),Skills!$B$9&amp;", ","")&amp;IF(AND(BC61=1,Skills!$G$20=1),Skills!$B$10&amp;", ","")&amp;IF(AND(BD61=1,Skills!$H$20=1),Skills!$B$11&amp;", ","")&amp;IF(AND(BE61=1,Skills!$I$20=1),Skills!$B$12&amp;", ","")&amp;IF(AND(BF61=1,Skills!$J$20=1),Skills!$B$13&amp;", ","")&amp;IF(AND(BG61=1,Skills!$K$20=1),Skills!$B$14&amp;", ","")&amp;IF(AND(BH61=1,Skills!$L$20=1),Skills!$B$15&amp;", ","")&amp;IF(AND(BI61=1,Skills!$M$20=1),Skills!$B$16&amp;", ",""),LEN(IF(AND(AX61=1,Skills!$B$20=1),Skills!$B$5&amp;", ","")&amp;IF(AND(AY61=1,Skills!$C$20=1),Skills!$B$6&amp;", ","")&amp;IF(AND(AZ61=1,Skills!$D$20=1),Skills!$B$7&amp;", ","")&amp;IF(AND(BA61=1,Skills!$E$20=1),Skills!$B$8&amp;", ","")&amp;IF(AND(BB61=1,Skills!$F$20=1),Skills!$B$9&amp;", ","")&amp;IF(AND(BC61=1,Skills!$G$20=1),Skills!$B$10&amp;", ","")&amp;IF(AND(BD61=1,Skills!$H$20=1),Skills!$B$11&amp;", ","")&amp;IF(AND(BE61=1,Skills!$I$20=1),Skills!$B$12&amp;", ","")&amp;IF(AND(BF61=1,Skills!$J$20=1),Skills!$B$13&amp;", ","")&amp;IF(AND(BG61=1,Skills!$K$20=1),Skills!$B$14&amp;", ","")&amp;IF(AND(BH61=1,Skills!$L$20=1),Skills!$B$15&amp;", ","")&amp;IF(AND(BI61=1,Skills!$M$20=1),Skills!$B$16&amp;", ",""))-2)))</f>
        <v/>
      </c>
    </row>
    <row r="62">
      <c r="AD62" s="20" t="n"/>
      <c r="AE62" s="20" t="n"/>
      <c r="AF62" s="20" t="n"/>
      <c r="AG62" s="20" t="n"/>
      <c r="AH62" s="20" t="n"/>
      <c r="AI62" s="20" t="n"/>
      <c r="AJ62" s="20" t="n"/>
      <c r="AK62" s="20" t="n"/>
      <c r="AL62" s="20" t="n"/>
      <c r="AM62" s="20" t="n"/>
      <c r="AN62" s="20" t="n"/>
      <c r="AO62" s="20" t="n"/>
      <c r="AP62" s="20" t="n"/>
      <c r="AR62" s="31">
        <f>IF(IFERROR(TRIM(INDEX($A62:$AB62,MATCH(Lists!$B$5,$A$1:$AB$1,0))&amp;""),"")&lt;&gt;"",IFERROR(TRIM(INDEX($A62:$AB62,MATCH(Lists!$B$5,$A$1:$AB$1,0))&amp;""),""),IFERROR(TRIM(INDEX($A62:$AB62,MATCH(Lists!$B$3,$A$1:$AB$1,0))&amp;""),""))</f>
        <v/>
      </c>
      <c r="AS62" s="31">
        <f>IF(AR62="","",IF(IFERROR(TRIM(INDEX($A62:$AB62,MATCH(Lists!$B$5,$A$1:$AB$1,0))&amp;""),"")&lt;&gt;"","Nominated","Applied"))</f>
        <v/>
      </c>
      <c r="AT62" s="31">
        <f>IF(AR62="","",IF(IFERROR(TRIM(INDEX($A62:$AB62,MATCH(Lists!$B$5,$A$1:$AB$1,0))&amp;""),"")&lt;&gt;"",IFERROR(TRIM(INDEX($A62:$AB62,MATCH(Lists!$B$6,$A$1:$AB$1,0))&amp;""),""),IFERROR(TRIM(INDEX($A62:$AB62,MATCH(Lists!$B$4,$A$1:$AB$1,0))&amp;""),"")))</f>
        <v/>
      </c>
      <c r="AU62" s="31">
        <f>IF(AR62="","",IFERROR(TRIM(INDEX($A62:$AB62,MATCH(Lists!$B$7,$A$1:$AB$1,0))&amp;""),""))</f>
        <v/>
      </c>
      <c r="AV62" s="31">
        <f>IF(AR62="","",IFERROR(TRIM(INDEX($A62:$AB62,MATCH(Lists!$B$9,$A$1:$AB$1,0))&amp;""),""))</f>
        <v/>
      </c>
      <c r="AW62" s="31">
        <f>IF(AR62="","",IFERROR(TRIM(INDEX($A62:$AB62,MATCH(Lists!$B$8,$A$1:$AB$1,0))&amp;""),""))</f>
        <v/>
      </c>
      <c r="AX62" s="23">
        <f>IF(AR62="","",IF(OR(TRIM(AE62&amp;"")&lt;&gt;"",AND(Skills!$B$5&lt;&gt;"",ISNUMBER(SEARCH(Skills!$B$5,AU62)))),1,0))</f>
        <v/>
      </c>
      <c r="AY62" s="23">
        <f>IF(AR62="","",IF(OR(TRIM(AF62&amp;"")&lt;&gt;"",AND(Skills!$B$6&lt;&gt;"",ISNUMBER(SEARCH(Skills!$B$6,AU62)))),1,0))</f>
        <v/>
      </c>
      <c r="AZ62" s="23">
        <f>IF(AR62="","",IF(OR(TRIM(AG62&amp;"")&lt;&gt;"",AND(Skills!$B$7&lt;&gt;"",ISNUMBER(SEARCH(Skills!$B$7,AU62)))),1,0))</f>
        <v/>
      </c>
      <c r="BA62" s="23">
        <f>IF(AR62="","",IF(OR(TRIM(AH62&amp;"")&lt;&gt;"",AND(Skills!$B$8&lt;&gt;"",ISNUMBER(SEARCH(Skills!$B$8,AU62)))),1,0))</f>
        <v/>
      </c>
      <c r="BB62" s="23">
        <f>IF(AR62="","",IF(OR(TRIM(AI62&amp;"")&lt;&gt;"",AND(Skills!$B$9&lt;&gt;"",ISNUMBER(SEARCH(Skills!$B$9,AU62)))),1,0))</f>
        <v/>
      </c>
      <c r="BC62" s="23">
        <f>IF(AR62="","",IF(OR(TRIM(AJ62&amp;"")&lt;&gt;"",AND(Skills!$B$10&lt;&gt;"",ISNUMBER(SEARCH(Skills!$B$10,AU62)))),1,0))</f>
        <v/>
      </c>
      <c r="BD62" s="23">
        <f>IF(AR62="","",IF(OR(TRIM(AK62&amp;"")&lt;&gt;"",AND(Skills!$B$11&lt;&gt;"",ISNUMBER(SEARCH(Skills!$B$11,AU62)))),1,0))</f>
        <v/>
      </c>
      <c r="BE62" s="23">
        <f>IF(AR62="","",IF(OR(TRIM(AL62&amp;"")&lt;&gt;"",AND(Skills!$B$12&lt;&gt;"",ISNUMBER(SEARCH(Skills!$B$12,AU62)))),1,0))</f>
        <v/>
      </c>
      <c r="BF62" s="23">
        <f>IF(AR62="","",IF(OR(TRIM(AM62&amp;"")&lt;&gt;"",AND(Skills!$B$13&lt;&gt;"",ISNUMBER(SEARCH(Skills!$B$13,AU62)))),1,0))</f>
        <v/>
      </c>
      <c r="BG62" s="23">
        <f>IF(AR62="","",IF(OR(TRIM(AN62&amp;"")&lt;&gt;"",AND(Skills!$B$14&lt;&gt;"",ISNUMBER(SEARCH(Skills!$B$14,AU62)))),1,0))</f>
        <v/>
      </c>
      <c r="BH62" s="23">
        <f>IF(AR62="","",IF(OR(TRIM(AO62&amp;"")&lt;&gt;"",AND(Skills!$B$15&lt;&gt;"",ISNUMBER(SEARCH(Skills!$B$15,AU62)))),1,0))</f>
        <v/>
      </c>
      <c r="BI62" s="23">
        <f>IF(AR62="","",IF(OR(TRIM(AP62&amp;"")&lt;&gt;"",AND(Skills!$B$16&lt;&gt;"",ISNUMBER(SEARCH(Skills!$B$16,AU62)))),1,0))</f>
        <v/>
      </c>
      <c r="BJ62" s="23">
        <f>IF(AR62="","",SUMPRODUCT($AX62:$BI62,Skills!$B$20:$M$20))</f>
        <v/>
      </c>
      <c r="BK62" s="23">
        <f>IF(AR62="","",BJ62*100000+(100000-ROW()))</f>
        <v/>
      </c>
      <c r="BL62" s="31">
        <f>IF(AR62="","",IF((IF(AND(AX62=1,Skills!$B$20=1),Skills!$B$5&amp;", ","")&amp;IF(AND(AY62=1,Skills!$C$20=1),Skills!$B$6&amp;", ","")&amp;IF(AND(AZ62=1,Skills!$D$20=1),Skills!$B$7&amp;", ","")&amp;IF(AND(BA62=1,Skills!$E$20=1),Skills!$B$8&amp;", ","")&amp;IF(AND(BB62=1,Skills!$F$20=1),Skills!$B$9&amp;", ","")&amp;IF(AND(BC62=1,Skills!$G$20=1),Skills!$B$10&amp;", ","")&amp;IF(AND(BD62=1,Skills!$H$20=1),Skills!$B$11&amp;", ","")&amp;IF(AND(BE62=1,Skills!$I$20=1),Skills!$B$12&amp;", ","")&amp;IF(AND(BF62=1,Skills!$J$20=1),Skills!$B$13&amp;", ","")&amp;IF(AND(BG62=1,Skills!$K$20=1),Skills!$B$14&amp;", ","")&amp;IF(AND(BH62=1,Skills!$L$20=1),Skills!$B$15&amp;", ","")&amp;IF(AND(BI62=1,Skills!$M$20=1),Skills!$B$16&amp;", ",""))="","",LEFT(IF(AND(AX62=1,Skills!$B$20=1),Skills!$B$5&amp;", ","")&amp;IF(AND(AY62=1,Skills!$C$20=1),Skills!$B$6&amp;", ","")&amp;IF(AND(AZ62=1,Skills!$D$20=1),Skills!$B$7&amp;", ","")&amp;IF(AND(BA62=1,Skills!$E$20=1),Skills!$B$8&amp;", ","")&amp;IF(AND(BB62=1,Skills!$F$20=1),Skills!$B$9&amp;", ","")&amp;IF(AND(BC62=1,Skills!$G$20=1),Skills!$B$10&amp;", ","")&amp;IF(AND(BD62=1,Skills!$H$20=1),Skills!$B$11&amp;", ","")&amp;IF(AND(BE62=1,Skills!$I$20=1),Skills!$B$12&amp;", ","")&amp;IF(AND(BF62=1,Skills!$J$20=1),Skills!$B$13&amp;", ","")&amp;IF(AND(BG62=1,Skills!$K$20=1),Skills!$B$14&amp;", ","")&amp;IF(AND(BH62=1,Skills!$L$20=1),Skills!$B$15&amp;", ","")&amp;IF(AND(BI62=1,Skills!$M$20=1),Skills!$B$16&amp;", ",""),LEN(IF(AND(AX62=1,Skills!$B$20=1),Skills!$B$5&amp;", ","")&amp;IF(AND(AY62=1,Skills!$C$20=1),Skills!$B$6&amp;", ","")&amp;IF(AND(AZ62=1,Skills!$D$20=1),Skills!$B$7&amp;", ","")&amp;IF(AND(BA62=1,Skills!$E$20=1),Skills!$B$8&amp;", ","")&amp;IF(AND(BB62=1,Skills!$F$20=1),Skills!$B$9&amp;", ","")&amp;IF(AND(BC62=1,Skills!$G$20=1),Skills!$B$10&amp;", ","")&amp;IF(AND(BD62=1,Skills!$H$20=1),Skills!$B$11&amp;", ","")&amp;IF(AND(BE62=1,Skills!$I$20=1),Skills!$B$12&amp;", ","")&amp;IF(AND(BF62=1,Skills!$J$20=1),Skills!$B$13&amp;", ","")&amp;IF(AND(BG62=1,Skills!$K$20=1),Skills!$B$14&amp;", ","")&amp;IF(AND(BH62=1,Skills!$L$20=1),Skills!$B$15&amp;", ","")&amp;IF(AND(BI62=1,Skills!$M$20=1),Skills!$B$16&amp;", ",""))-2)))</f>
        <v/>
      </c>
    </row>
    <row r="63">
      <c r="AD63" s="20" t="n"/>
      <c r="AE63" s="20" t="n"/>
      <c r="AF63" s="20" t="n"/>
      <c r="AG63" s="20" t="n"/>
      <c r="AH63" s="20" t="n"/>
      <c r="AI63" s="20" t="n"/>
      <c r="AJ63" s="20" t="n"/>
      <c r="AK63" s="20" t="n"/>
      <c r="AL63" s="20" t="n"/>
      <c r="AM63" s="20" t="n"/>
      <c r="AN63" s="20" t="n"/>
      <c r="AO63" s="20" t="n"/>
      <c r="AP63" s="20" t="n"/>
      <c r="AR63" s="31">
        <f>IF(IFERROR(TRIM(INDEX($A63:$AB63,MATCH(Lists!$B$5,$A$1:$AB$1,0))&amp;""),"")&lt;&gt;"",IFERROR(TRIM(INDEX($A63:$AB63,MATCH(Lists!$B$5,$A$1:$AB$1,0))&amp;""),""),IFERROR(TRIM(INDEX($A63:$AB63,MATCH(Lists!$B$3,$A$1:$AB$1,0))&amp;""),""))</f>
        <v/>
      </c>
      <c r="AS63" s="31">
        <f>IF(AR63="","",IF(IFERROR(TRIM(INDEX($A63:$AB63,MATCH(Lists!$B$5,$A$1:$AB$1,0))&amp;""),"")&lt;&gt;"","Nominated","Applied"))</f>
        <v/>
      </c>
      <c r="AT63" s="31">
        <f>IF(AR63="","",IF(IFERROR(TRIM(INDEX($A63:$AB63,MATCH(Lists!$B$5,$A$1:$AB$1,0))&amp;""),"")&lt;&gt;"",IFERROR(TRIM(INDEX($A63:$AB63,MATCH(Lists!$B$6,$A$1:$AB$1,0))&amp;""),""),IFERROR(TRIM(INDEX($A63:$AB63,MATCH(Lists!$B$4,$A$1:$AB$1,0))&amp;""),"")))</f>
        <v/>
      </c>
      <c r="AU63" s="31">
        <f>IF(AR63="","",IFERROR(TRIM(INDEX($A63:$AB63,MATCH(Lists!$B$7,$A$1:$AB$1,0))&amp;""),""))</f>
        <v/>
      </c>
      <c r="AV63" s="31">
        <f>IF(AR63="","",IFERROR(TRIM(INDEX($A63:$AB63,MATCH(Lists!$B$9,$A$1:$AB$1,0))&amp;""),""))</f>
        <v/>
      </c>
      <c r="AW63" s="31">
        <f>IF(AR63="","",IFERROR(TRIM(INDEX($A63:$AB63,MATCH(Lists!$B$8,$A$1:$AB$1,0))&amp;""),""))</f>
        <v/>
      </c>
      <c r="AX63" s="23">
        <f>IF(AR63="","",IF(OR(TRIM(AE63&amp;"")&lt;&gt;"",AND(Skills!$B$5&lt;&gt;"",ISNUMBER(SEARCH(Skills!$B$5,AU63)))),1,0))</f>
        <v/>
      </c>
      <c r="AY63" s="23">
        <f>IF(AR63="","",IF(OR(TRIM(AF63&amp;"")&lt;&gt;"",AND(Skills!$B$6&lt;&gt;"",ISNUMBER(SEARCH(Skills!$B$6,AU63)))),1,0))</f>
        <v/>
      </c>
      <c r="AZ63" s="23">
        <f>IF(AR63="","",IF(OR(TRIM(AG63&amp;"")&lt;&gt;"",AND(Skills!$B$7&lt;&gt;"",ISNUMBER(SEARCH(Skills!$B$7,AU63)))),1,0))</f>
        <v/>
      </c>
      <c r="BA63" s="23">
        <f>IF(AR63="","",IF(OR(TRIM(AH63&amp;"")&lt;&gt;"",AND(Skills!$B$8&lt;&gt;"",ISNUMBER(SEARCH(Skills!$B$8,AU63)))),1,0))</f>
        <v/>
      </c>
      <c r="BB63" s="23">
        <f>IF(AR63="","",IF(OR(TRIM(AI63&amp;"")&lt;&gt;"",AND(Skills!$B$9&lt;&gt;"",ISNUMBER(SEARCH(Skills!$B$9,AU63)))),1,0))</f>
        <v/>
      </c>
      <c r="BC63" s="23">
        <f>IF(AR63="","",IF(OR(TRIM(AJ63&amp;"")&lt;&gt;"",AND(Skills!$B$10&lt;&gt;"",ISNUMBER(SEARCH(Skills!$B$10,AU63)))),1,0))</f>
        <v/>
      </c>
      <c r="BD63" s="23">
        <f>IF(AR63="","",IF(OR(TRIM(AK63&amp;"")&lt;&gt;"",AND(Skills!$B$11&lt;&gt;"",ISNUMBER(SEARCH(Skills!$B$11,AU63)))),1,0))</f>
        <v/>
      </c>
      <c r="BE63" s="23">
        <f>IF(AR63="","",IF(OR(TRIM(AL63&amp;"")&lt;&gt;"",AND(Skills!$B$12&lt;&gt;"",ISNUMBER(SEARCH(Skills!$B$12,AU63)))),1,0))</f>
        <v/>
      </c>
      <c r="BF63" s="23">
        <f>IF(AR63="","",IF(OR(TRIM(AM63&amp;"")&lt;&gt;"",AND(Skills!$B$13&lt;&gt;"",ISNUMBER(SEARCH(Skills!$B$13,AU63)))),1,0))</f>
        <v/>
      </c>
      <c r="BG63" s="23">
        <f>IF(AR63="","",IF(OR(TRIM(AN63&amp;"")&lt;&gt;"",AND(Skills!$B$14&lt;&gt;"",ISNUMBER(SEARCH(Skills!$B$14,AU63)))),1,0))</f>
        <v/>
      </c>
      <c r="BH63" s="23">
        <f>IF(AR63="","",IF(OR(TRIM(AO63&amp;"")&lt;&gt;"",AND(Skills!$B$15&lt;&gt;"",ISNUMBER(SEARCH(Skills!$B$15,AU63)))),1,0))</f>
        <v/>
      </c>
      <c r="BI63" s="23">
        <f>IF(AR63="","",IF(OR(TRIM(AP63&amp;"")&lt;&gt;"",AND(Skills!$B$16&lt;&gt;"",ISNUMBER(SEARCH(Skills!$B$16,AU63)))),1,0))</f>
        <v/>
      </c>
      <c r="BJ63" s="23">
        <f>IF(AR63="","",SUMPRODUCT($AX63:$BI63,Skills!$B$20:$M$20))</f>
        <v/>
      </c>
      <c r="BK63" s="23">
        <f>IF(AR63="","",BJ63*100000+(100000-ROW()))</f>
        <v/>
      </c>
      <c r="BL63" s="31">
        <f>IF(AR63="","",IF((IF(AND(AX63=1,Skills!$B$20=1),Skills!$B$5&amp;", ","")&amp;IF(AND(AY63=1,Skills!$C$20=1),Skills!$B$6&amp;", ","")&amp;IF(AND(AZ63=1,Skills!$D$20=1),Skills!$B$7&amp;", ","")&amp;IF(AND(BA63=1,Skills!$E$20=1),Skills!$B$8&amp;", ","")&amp;IF(AND(BB63=1,Skills!$F$20=1),Skills!$B$9&amp;", ","")&amp;IF(AND(BC63=1,Skills!$G$20=1),Skills!$B$10&amp;", ","")&amp;IF(AND(BD63=1,Skills!$H$20=1),Skills!$B$11&amp;", ","")&amp;IF(AND(BE63=1,Skills!$I$20=1),Skills!$B$12&amp;", ","")&amp;IF(AND(BF63=1,Skills!$J$20=1),Skills!$B$13&amp;", ","")&amp;IF(AND(BG63=1,Skills!$K$20=1),Skills!$B$14&amp;", ","")&amp;IF(AND(BH63=1,Skills!$L$20=1),Skills!$B$15&amp;", ","")&amp;IF(AND(BI63=1,Skills!$M$20=1),Skills!$B$16&amp;", ",""))="","",LEFT(IF(AND(AX63=1,Skills!$B$20=1),Skills!$B$5&amp;", ","")&amp;IF(AND(AY63=1,Skills!$C$20=1),Skills!$B$6&amp;", ","")&amp;IF(AND(AZ63=1,Skills!$D$20=1),Skills!$B$7&amp;", ","")&amp;IF(AND(BA63=1,Skills!$E$20=1),Skills!$B$8&amp;", ","")&amp;IF(AND(BB63=1,Skills!$F$20=1),Skills!$B$9&amp;", ","")&amp;IF(AND(BC63=1,Skills!$G$20=1),Skills!$B$10&amp;", ","")&amp;IF(AND(BD63=1,Skills!$H$20=1),Skills!$B$11&amp;", ","")&amp;IF(AND(BE63=1,Skills!$I$20=1),Skills!$B$12&amp;", ","")&amp;IF(AND(BF63=1,Skills!$J$20=1),Skills!$B$13&amp;", ","")&amp;IF(AND(BG63=1,Skills!$K$20=1),Skills!$B$14&amp;", ","")&amp;IF(AND(BH63=1,Skills!$L$20=1),Skills!$B$15&amp;", ","")&amp;IF(AND(BI63=1,Skills!$M$20=1),Skills!$B$16&amp;", ",""),LEN(IF(AND(AX63=1,Skills!$B$20=1),Skills!$B$5&amp;", ","")&amp;IF(AND(AY63=1,Skills!$C$20=1),Skills!$B$6&amp;", ","")&amp;IF(AND(AZ63=1,Skills!$D$20=1),Skills!$B$7&amp;", ","")&amp;IF(AND(BA63=1,Skills!$E$20=1),Skills!$B$8&amp;", ","")&amp;IF(AND(BB63=1,Skills!$F$20=1),Skills!$B$9&amp;", ","")&amp;IF(AND(BC63=1,Skills!$G$20=1),Skills!$B$10&amp;", ","")&amp;IF(AND(BD63=1,Skills!$H$20=1),Skills!$B$11&amp;", ","")&amp;IF(AND(BE63=1,Skills!$I$20=1),Skills!$B$12&amp;", ","")&amp;IF(AND(BF63=1,Skills!$J$20=1),Skills!$B$13&amp;", ","")&amp;IF(AND(BG63=1,Skills!$K$20=1),Skills!$B$14&amp;", ","")&amp;IF(AND(BH63=1,Skills!$L$20=1),Skills!$B$15&amp;", ","")&amp;IF(AND(BI63=1,Skills!$M$20=1),Skills!$B$16&amp;", ",""))-2)))</f>
        <v/>
      </c>
    </row>
    <row r="64">
      <c r="AD64" s="20" t="n"/>
      <c r="AE64" s="20" t="n"/>
      <c r="AF64" s="20" t="n"/>
      <c r="AG64" s="20" t="n"/>
      <c r="AH64" s="20" t="n"/>
      <c r="AI64" s="20" t="n"/>
      <c r="AJ64" s="20" t="n"/>
      <c r="AK64" s="20" t="n"/>
      <c r="AL64" s="20" t="n"/>
      <c r="AM64" s="20" t="n"/>
      <c r="AN64" s="20" t="n"/>
      <c r="AO64" s="20" t="n"/>
      <c r="AP64" s="20" t="n"/>
      <c r="AR64" s="31">
        <f>IF(IFERROR(TRIM(INDEX($A64:$AB64,MATCH(Lists!$B$5,$A$1:$AB$1,0))&amp;""),"")&lt;&gt;"",IFERROR(TRIM(INDEX($A64:$AB64,MATCH(Lists!$B$5,$A$1:$AB$1,0))&amp;""),""),IFERROR(TRIM(INDEX($A64:$AB64,MATCH(Lists!$B$3,$A$1:$AB$1,0))&amp;""),""))</f>
        <v/>
      </c>
      <c r="AS64" s="31">
        <f>IF(AR64="","",IF(IFERROR(TRIM(INDEX($A64:$AB64,MATCH(Lists!$B$5,$A$1:$AB$1,0))&amp;""),"")&lt;&gt;"","Nominated","Applied"))</f>
        <v/>
      </c>
      <c r="AT64" s="31">
        <f>IF(AR64="","",IF(IFERROR(TRIM(INDEX($A64:$AB64,MATCH(Lists!$B$5,$A$1:$AB$1,0))&amp;""),"")&lt;&gt;"",IFERROR(TRIM(INDEX($A64:$AB64,MATCH(Lists!$B$6,$A$1:$AB$1,0))&amp;""),""),IFERROR(TRIM(INDEX($A64:$AB64,MATCH(Lists!$B$4,$A$1:$AB$1,0))&amp;""),"")))</f>
        <v/>
      </c>
      <c r="AU64" s="31">
        <f>IF(AR64="","",IFERROR(TRIM(INDEX($A64:$AB64,MATCH(Lists!$B$7,$A$1:$AB$1,0))&amp;""),""))</f>
        <v/>
      </c>
      <c r="AV64" s="31">
        <f>IF(AR64="","",IFERROR(TRIM(INDEX($A64:$AB64,MATCH(Lists!$B$9,$A$1:$AB$1,0))&amp;""),""))</f>
        <v/>
      </c>
      <c r="AW64" s="31">
        <f>IF(AR64="","",IFERROR(TRIM(INDEX($A64:$AB64,MATCH(Lists!$B$8,$A$1:$AB$1,0))&amp;""),""))</f>
        <v/>
      </c>
      <c r="AX64" s="23">
        <f>IF(AR64="","",IF(OR(TRIM(AE64&amp;"")&lt;&gt;"",AND(Skills!$B$5&lt;&gt;"",ISNUMBER(SEARCH(Skills!$B$5,AU64)))),1,0))</f>
        <v/>
      </c>
      <c r="AY64" s="23">
        <f>IF(AR64="","",IF(OR(TRIM(AF64&amp;"")&lt;&gt;"",AND(Skills!$B$6&lt;&gt;"",ISNUMBER(SEARCH(Skills!$B$6,AU64)))),1,0))</f>
        <v/>
      </c>
      <c r="AZ64" s="23">
        <f>IF(AR64="","",IF(OR(TRIM(AG64&amp;"")&lt;&gt;"",AND(Skills!$B$7&lt;&gt;"",ISNUMBER(SEARCH(Skills!$B$7,AU64)))),1,0))</f>
        <v/>
      </c>
      <c r="BA64" s="23">
        <f>IF(AR64="","",IF(OR(TRIM(AH64&amp;"")&lt;&gt;"",AND(Skills!$B$8&lt;&gt;"",ISNUMBER(SEARCH(Skills!$B$8,AU64)))),1,0))</f>
        <v/>
      </c>
      <c r="BB64" s="23">
        <f>IF(AR64="","",IF(OR(TRIM(AI64&amp;"")&lt;&gt;"",AND(Skills!$B$9&lt;&gt;"",ISNUMBER(SEARCH(Skills!$B$9,AU64)))),1,0))</f>
        <v/>
      </c>
      <c r="BC64" s="23">
        <f>IF(AR64="","",IF(OR(TRIM(AJ64&amp;"")&lt;&gt;"",AND(Skills!$B$10&lt;&gt;"",ISNUMBER(SEARCH(Skills!$B$10,AU64)))),1,0))</f>
        <v/>
      </c>
      <c r="BD64" s="23">
        <f>IF(AR64="","",IF(OR(TRIM(AK64&amp;"")&lt;&gt;"",AND(Skills!$B$11&lt;&gt;"",ISNUMBER(SEARCH(Skills!$B$11,AU64)))),1,0))</f>
        <v/>
      </c>
      <c r="BE64" s="23">
        <f>IF(AR64="","",IF(OR(TRIM(AL64&amp;"")&lt;&gt;"",AND(Skills!$B$12&lt;&gt;"",ISNUMBER(SEARCH(Skills!$B$12,AU64)))),1,0))</f>
        <v/>
      </c>
      <c r="BF64" s="23">
        <f>IF(AR64="","",IF(OR(TRIM(AM64&amp;"")&lt;&gt;"",AND(Skills!$B$13&lt;&gt;"",ISNUMBER(SEARCH(Skills!$B$13,AU64)))),1,0))</f>
        <v/>
      </c>
      <c r="BG64" s="23">
        <f>IF(AR64="","",IF(OR(TRIM(AN64&amp;"")&lt;&gt;"",AND(Skills!$B$14&lt;&gt;"",ISNUMBER(SEARCH(Skills!$B$14,AU64)))),1,0))</f>
        <v/>
      </c>
      <c r="BH64" s="23">
        <f>IF(AR64="","",IF(OR(TRIM(AO64&amp;"")&lt;&gt;"",AND(Skills!$B$15&lt;&gt;"",ISNUMBER(SEARCH(Skills!$B$15,AU64)))),1,0))</f>
        <v/>
      </c>
      <c r="BI64" s="23">
        <f>IF(AR64="","",IF(OR(TRIM(AP64&amp;"")&lt;&gt;"",AND(Skills!$B$16&lt;&gt;"",ISNUMBER(SEARCH(Skills!$B$16,AU64)))),1,0))</f>
        <v/>
      </c>
      <c r="BJ64" s="23">
        <f>IF(AR64="","",SUMPRODUCT($AX64:$BI64,Skills!$B$20:$M$20))</f>
        <v/>
      </c>
      <c r="BK64" s="23">
        <f>IF(AR64="","",BJ64*100000+(100000-ROW()))</f>
        <v/>
      </c>
      <c r="BL64" s="31">
        <f>IF(AR64="","",IF((IF(AND(AX64=1,Skills!$B$20=1),Skills!$B$5&amp;", ","")&amp;IF(AND(AY64=1,Skills!$C$20=1),Skills!$B$6&amp;", ","")&amp;IF(AND(AZ64=1,Skills!$D$20=1),Skills!$B$7&amp;", ","")&amp;IF(AND(BA64=1,Skills!$E$20=1),Skills!$B$8&amp;", ","")&amp;IF(AND(BB64=1,Skills!$F$20=1),Skills!$B$9&amp;", ","")&amp;IF(AND(BC64=1,Skills!$G$20=1),Skills!$B$10&amp;", ","")&amp;IF(AND(BD64=1,Skills!$H$20=1),Skills!$B$11&amp;", ","")&amp;IF(AND(BE64=1,Skills!$I$20=1),Skills!$B$12&amp;", ","")&amp;IF(AND(BF64=1,Skills!$J$20=1),Skills!$B$13&amp;", ","")&amp;IF(AND(BG64=1,Skills!$K$20=1),Skills!$B$14&amp;", ","")&amp;IF(AND(BH64=1,Skills!$L$20=1),Skills!$B$15&amp;", ","")&amp;IF(AND(BI64=1,Skills!$M$20=1),Skills!$B$16&amp;", ",""))="","",LEFT(IF(AND(AX64=1,Skills!$B$20=1),Skills!$B$5&amp;", ","")&amp;IF(AND(AY64=1,Skills!$C$20=1),Skills!$B$6&amp;", ","")&amp;IF(AND(AZ64=1,Skills!$D$20=1),Skills!$B$7&amp;", ","")&amp;IF(AND(BA64=1,Skills!$E$20=1),Skills!$B$8&amp;", ","")&amp;IF(AND(BB64=1,Skills!$F$20=1),Skills!$B$9&amp;", ","")&amp;IF(AND(BC64=1,Skills!$G$20=1),Skills!$B$10&amp;", ","")&amp;IF(AND(BD64=1,Skills!$H$20=1),Skills!$B$11&amp;", ","")&amp;IF(AND(BE64=1,Skills!$I$20=1),Skills!$B$12&amp;", ","")&amp;IF(AND(BF64=1,Skills!$J$20=1),Skills!$B$13&amp;", ","")&amp;IF(AND(BG64=1,Skills!$K$20=1),Skills!$B$14&amp;", ","")&amp;IF(AND(BH64=1,Skills!$L$20=1),Skills!$B$15&amp;", ","")&amp;IF(AND(BI64=1,Skills!$M$20=1),Skills!$B$16&amp;", ",""),LEN(IF(AND(AX64=1,Skills!$B$20=1),Skills!$B$5&amp;", ","")&amp;IF(AND(AY64=1,Skills!$C$20=1),Skills!$B$6&amp;", ","")&amp;IF(AND(AZ64=1,Skills!$D$20=1),Skills!$B$7&amp;", ","")&amp;IF(AND(BA64=1,Skills!$E$20=1),Skills!$B$8&amp;", ","")&amp;IF(AND(BB64=1,Skills!$F$20=1),Skills!$B$9&amp;", ","")&amp;IF(AND(BC64=1,Skills!$G$20=1),Skills!$B$10&amp;", ","")&amp;IF(AND(BD64=1,Skills!$H$20=1),Skills!$B$11&amp;", ","")&amp;IF(AND(BE64=1,Skills!$I$20=1),Skills!$B$12&amp;", ","")&amp;IF(AND(BF64=1,Skills!$J$20=1),Skills!$B$13&amp;", ","")&amp;IF(AND(BG64=1,Skills!$K$20=1),Skills!$B$14&amp;", ","")&amp;IF(AND(BH64=1,Skills!$L$20=1),Skills!$B$15&amp;", ","")&amp;IF(AND(BI64=1,Skills!$M$20=1),Skills!$B$16&amp;", ",""))-2)))</f>
        <v/>
      </c>
    </row>
    <row r="65">
      <c r="AD65" s="20" t="n"/>
      <c r="AE65" s="20" t="n"/>
      <c r="AF65" s="20" t="n"/>
      <c r="AG65" s="20" t="n"/>
      <c r="AH65" s="20" t="n"/>
      <c r="AI65" s="20" t="n"/>
      <c r="AJ65" s="20" t="n"/>
      <c r="AK65" s="20" t="n"/>
      <c r="AL65" s="20" t="n"/>
      <c r="AM65" s="20" t="n"/>
      <c r="AN65" s="20" t="n"/>
      <c r="AO65" s="20" t="n"/>
      <c r="AP65" s="20" t="n"/>
      <c r="AR65" s="31">
        <f>IF(IFERROR(TRIM(INDEX($A65:$AB65,MATCH(Lists!$B$5,$A$1:$AB$1,0))&amp;""),"")&lt;&gt;"",IFERROR(TRIM(INDEX($A65:$AB65,MATCH(Lists!$B$5,$A$1:$AB$1,0))&amp;""),""),IFERROR(TRIM(INDEX($A65:$AB65,MATCH(Lists!$B$3,$A$1:$AB$1,0))&amp;""),""))</f>
        <v/>
      </c>
      <c r="AS65" s="31">
        <f>IF(AR65="","",IF(IFERROR(TRIM(INDEX($A65:$AB65,MATCH(Lists!$B$5,$A$1:$AB$1,0))&amp;""),"")&lt;&gt;"","Nominated","Applied"))</f>
        <v/>
      </c>
      <c r="AT65" s="31">
        <f>IF(AR65="","",IF(IFERROR(TRIM(INDEX($A65:$AB65,MATCH(Lists!$B$5,$A$1:$AB$1,0))&amp;""),"")&lt;&gt;"",IFERROR(TRIM(INDEX($A65:$AB65,MATCH(Lists!$B$6,$A$1:$AB$1,0))&amp;""),""),IFERROR(TRIM(INDEX($A65:$AB65,MATCH(Lists!$B$4,$A$1:$AB$1,0))&amp;""),"")))</f>
        <v/>
      </c>
      <c r="AU65" s="31">
        <f>IF(AR65="","",IFERROR(TRIM(INDEX($A65:$AB65,MATCH(Lists!$B$7,$A$1:$AB$1,0))&amp;""),""))</f>
        <v/>
      </c>
      <c r="AV65" s="31">
        <f>IF(AR65="","",IFERROR(TRIM(INDEX($A65:$AB65,MATCH(Lists!$B$9,$A$1:$AB$1,0))&amp;""),""))</f>
        <v/>
      </c>
      <c r="AW65" s="31">
        <f>IF(AR65="","",IFERROR(TRIM(INDEX($A65:$AB65,MATCH(Lists!$B$8,$A$1:$AB$1,0))&amp;""),""))</f>
        <v/>
      </c>
      <c r="AX65" s="23">
        <f>IF(AR65="","",IF(OR(TRIM(AE65&amp;"")&lt;&gt;"",AND(Skills!$B$5&lt;&gt;"",ISNUMBER(SEARCH(Skills!$B$5,AU65)))),1,0))</f>
        <v/>
      </c>
      <c r="AY65" s="23">
        <f>IF(AR65="","",IF(OR(TRIM(AF65&amp;"")&lt;&gt;"",AND(Skills!$B$6&lt;&gt;"",ISNUMBER(SEARCH(Skills!$B$6,AU65)))),1,0))</f>
        <v/>
      </c>
      <c r="AZ65" s="23">
        <f>IF(AR65="","",IF(OR(TRIM(AG65&amp;"")&lt;&gt;"",AND(Skills!$B$7&lt;&gt;"",ISNUMBER(SEARCH(Skills!$B$7,AU65)))),1,0))</f>
        <v/>
      </c>
      <c r="BA65" s="23">
        <f>IF(AR65="","",IF(OR(TRIM(AH65&amp;"")&lt;&gt;"",AND(Skills!$B$8&lt;&gt;"",ISNUMBER(SEARCH(Skills!$B$8,AU65)))),1,0))</f>
        <v/>
      </c>
      <c r="BB65" s="23">
        <f>IF(AR65="","",IF(OR(TRIM(AI65&amp;"")&lt;&gt;"",AND(Skills!$B$9&lt;&gt;"",ISNUMBER(SEARCH(Skills!$B$9,AU65)))),1,0))</f>
        <v/>
      </c>
      <c r="BC65" s="23">
        <f>IF(AR65="","",IF(OR(TRIM(AJ65&amp;"")&lt;&gt;"",AND(Skills!$B$10&lt;&gt;"",ISNUMBER(SEARCH(Skills!$B$10,AU65)))),1,0))</f>
        <v/>
      </c>
      <c r="BD65" s="23">
        <f>IF(AR65="","",IF(OR(TRIM(AK65&amp;"")&lt;&gt;"",AND(Skills!$B$11&lt;&gt;"",ISNUMBER(SEARCH(Skills!$B$11,AU65)))),1,0))</f>
        <v/>
      </c>
      <c r="BE65" s="23">
        <f>IF(AR65="","",IF(OR(TRIM(AL65&amp;"")&lt;&gt;"",AND(Skills!$B$12&lt;&gt;"",ISNUMBER(SEARCH(Skills!$B$12,AU65)))),1,0))</f>
        <v/>
      </c>
      <c r="BF65" s="23">
        <f>IF(AR65="","",IF(OR(TRIM(AM65&amp;"")&lt;&gt;"",AND(Skills!$B$13&lt;&gt;"",ISNUMBER(SEARCH(Skills!$B$13,AU65)))),1,0))</f>
        <v/>
      </c>
      <c r="BG65" s="23">
        <f>IF(AR65="","",IF(OR(TRIM(AN65&amp;"")&lt;&gt;"",AND(Skills!$B$14&lt;&gt;"",ISNUMBER(SEARCH(Skills!$B$14,AU65)))),1,0))</f>
        <v/>
      </c>
      <c r="BH65" s="23">
        <f>IF(AR65="","",IF(OR(TRIM(AO65&amp;"")&lt;&gt;"",AND(Skills!$B$15&lt;&gt;"",ISNUMBER(SEARCH(Skills!$B$15,AU65)))),1,0))</f>
        <v/>
      </c>
      <c r="BI65" s="23">
        <f>IF(AR65="","",IF(OR(TRIM(AP65&amp;"")&lt;&gt;"",AND(Skills!$B$16&lt;&gt;"",ISNUMBER(SEARCH(Skills!$B$16,AU65)))),1,0))</f>
        <v/>
      </c>
      <c r="BJ65" s="23">
        <f>IF(AR65="","",SUMPRODUCT($AX65:$BI65,Skills!$B$20:$M$20))</f>
        <v/>
      </c>
      <c r="BK65" s="23">
        <f>IF(AR65="","",BJ65*100000+(100000-ROW()))</f>
        <v/>
      </c>
      <c r="BL65" s="31">
        <f>IF(AR65="","",IF((IF(AND(AX65=1,Skills!$B$20=1),Skills!$B$5&amp;", ","")&amp;IF(AND(AY65=1,Skills!$C$20=1),Skills!$B$6&amp;", ","")&amp;IF(AND(AZ65=1,Skills!$D$20=1),Skills!$B$7&amp;", ","")&amp;IF(AND(BA65=1,Skills!$E$20=1),Skills!$B$8&amp;", ","")&amp;IF(AND(BB65=1,Skills!$F$20=1),Skills!$B$9&amp;", ","")&amp;IF(AND(BC65=1,Skills!$G$20=1),Skills!$B$10&amp;", ","")&amp;IF(AND(BD65=1,Skills!$H$20=1),Skills!$B$11&amp;", ","")&amp;IF(AND(BE65=1,Skills!$I$20=1),Skills!$B$12&amp;", ","")&amp;IF(AND(BF65=1,Skills!$J$20=1),Skills!$B$13&amp;", ","")&amp;IF(AND(BG65=1,Skills!$K$20=1),Skills!$B$14&amp;", ","")&amp;IF(AND(BH65=1,Skills!$L$20=1),Skills!$B$15&amp;", ","")&amp;IF(AND(BI65=1,Skills!$M$20=1),Skills!$B$16&amp;", ",""))="","",LEFT(IF(AND(AX65=1,Skills!$B$20=1),Skills!$B$5&amp;", ","")&amp;IF(AND(AY65=1,Skills!$C$20=1),Skills!$B$6&amp;", ","")&amp;IF(AND(AZ65=1,Skills!$D$20=1),Skills!$B$7&amp;", ","")&amp;IF(AND(BA65=1,Skills!$E$20=1),Skills!$B$8&amp;", ","")&amp;IF(AND(BB65=1,Skills!$F$20=1),Skills!$B$9&amp;", ","")&amp;IF(AND(BC65=1,Skills!$G$20=1),Skills!$B$10&amp;", ","")&amp;IF(AND(BD65=1,Skills!$H$20=1),Skills!$B$11&amp;", ","")&amp;IF(AND(BE65=1,Skills!$I$20=1),Skills!$B$12&amp;", ","")&amp;IF(AND(BF65=1,Skills!$J$20=1),Skills!$B$13&amp;", ","")&amp;IF(AND(BG65=1,Skills!$K$20=1),Skills!$B$14&amp;", ","")&amp;IF(AND(BH65=1,Skills!$L$20=1),Skills!$B$15&amp;", ","")&amp;IF(AND(BI65=1,Skills!$M$20=1),Skills!$B$16&amp;", ",""),LEN(IF(AND(AX65=1,Skills!$B$20=1),Skills!$B$5&amp;", ","")&amp;IF(AND(AY65=1,Skills!$C$20=1),Skills!$B$6&amp;", ","")&amp;IF(AND(AZ65=1,Skills!$D$20=1),Skills!$B$7&amp;", ","")&amp;IF(AND(BA65=1,Skills!$E$20=1),Skills!$B$8&amp;", ","")&amp;IF(AND(BB65=1,Skills!$F$20=1),Skills!$B$9&amp;", ","")&amp;IF(AND(BC65=1,Skills!$G$20=1),Skills!$B$10&amp;", ","")&amp;IF(AND(BD65=1,Skills!$H$20=1),Skills!$B$11&amp;", ","")&amp;IF(AND(BE65=1,Skills!$I$20=1),Skills!$B$12&amp;", ","")&amp;IF(AND(BF65=1,Skills!$J$20=1),Skills!$B$13&amp;", ","")&amp;IF(AND(BG65=1,Skills!$K$20=1),Skills!$B$14&amp;", ","")&amp;IF(AND(BH65=1,Skills!$L$20=1),Skills!$B$15&amp;", ","")&amp;IF(AND(BI65=1,Skills!$M$20=1),Skills!$B$16&amp;", ",""))-2)))</f>
        <v/>
      </c>
    </row>
    <row r="66">
      <c r="AD66" s="20" t="n"/>
      <c r="AE66" s="20" t="n"/>
      <c r="AF66" s="20" t="n"/>
      <c r="AG66" s="20" t="n"/>
      <c r="AH66" s="20" t="n"/>
      <c r="AI66" s="20" t="n"/>
      <c r="AJ66" s="20" t="n"/>
      <c r="AK66" s="20" t="n"/>
      <c r="AL66" s="20" t="n"/>
      <c r="AM66" s="20" t="n"/>
      <c r="AN66" s="20" t="n"/>
      <c r="AO66" s="20" t="n"/>
      <c r="AP66" s="20" t="n"/>
      <c r="AR66" s="31">
        <f>IF(IFERROR(TRIM(INDEX($A66:$AB66,MATCH(Lists!$B$5,$A$1:$AB$1,0))&amp;""),"")&lt;&gt;"",IFERROR(TRIM(INDEX($A66:$AB66,MATCH(Lists!$B$5,$A$1:$AB$1,0))&amp;""),""),IFERROR(TRIM(INDEX($A66:$AB66,MATCH(Lists!$B$3,$A$1:$AB$1,0))&amp;""),""))</f>
        <v/>
      </c>
      <c r="AS66" s="31">
        <f>IF(AR66="","",IF(IFERROR(TRIM(INDEX($A66:$AB66,MATCH(Lists!$B$5,$A$1:$AB$1,0))&amp;""),"")&lt;&gt;"","Nominated","Applied"))</f>
        <v/>
      </c>
      <c r="AT66" s="31">
        <f>IF(AR66="","",IF(IFERROR(TRIM(INDEX($A66:$AB66,MATCH(Lists!$B$5,$A$1:$AB$1,0))&amp;""),"")&lt;&gt;"",IFERROR(TRIM(INDEX($A66:$AB66,MATCH(Lists!$B$6,$A$1:$AB$1,0))&amp;""),""),IFERROR(TRIM(INDEX($A66:$AB66,MATCH(Lists!$B$4,$A$1:$AB$1,0))&amp;""),"")))</f>
        <v/>
      </c>
      <c r="AU66" s="31">
        <f>IF(AR66="","",IFERROR(TRIM(INDEX($A66:$AB66,MATCH(Lists!$B$7,$A$1:$AB$1,0))&amp;""),""))</f>
        <v/>
      </c>
      <c r="AV66" s="31">
        <f>IF(AR66="","",IFERROR(TRIM(INDEX($A66:$AB66,MATCH(Lists!$B$9,$A$1:$AB$1,0))&amp;""),""))</f>
        <v/>
      </c>
      <c r="AW66" s="31">
        <f>IF(AR66="","",IFERROR(TRIM(INDEX($A66:$AB66,MATCH(Lists!$B$8,$A$1:$AB$1,0))&amp;""),""))</f>
        <v/>
      </c>
      <c r="AX66" s="23">
        <f>IF(AR66="","",IF(OR(TRIM(AE66&amp;"")&lt;&gt;"",AND(Skills!$B$5&lt;&gt;"",ISNUMBER(SEARCH(Skills!$B$5,AU66)))),1,0))</f>
        <v/>
      </c>
      <c r="AY66" s="23">
        <f>IF(AR66="","",IF(OR(TRIM(AF66&amp;"")&lt;&gt;"",AND(Skills!$B$6&lt;&gt;"",ISNUMBER(SEARCH(Skills!$B$6,AU66)))),1,0))</f>
        <v/>
      </c>
      <c r="AZ66" s="23">
        <f>IF(AR66="","",IF(OR(TRIM(AG66&amp;"")&lt;&gt;"",AND(Skills!$B$7&lt;&gt;"",ISNUMBER(SEARCH(Skills!$B$7,AU66)))),1,0))</f>
        <v/>
      </c>
      <c r="BA66" s="23">
        <f>IF(AR66="","",IF(OR(TRIM(AH66&amp;"")&lt;&gt;"",AND(Skills!$B$8&lt;&gt;"",ISNUMBER(SEARCH(Skills!$B$8,AU66)))),1,0))</f>
        <v/>
      </c>
      <c r="BB66" s="23">
        <f>IF(AR66="","",IF(OR(TRIM(AI66&amp;"")&lt;&gt;"",AND(Skills!$B$9&lt;&gt;"",ISNUMBER(SEARCH(Skills!$B$9,AU66)))),1,0))</f>
        <v/>
      </c>
      <c r="BC66" s="23">
        <f>IF(AR66="","",IF(OR(TRIM(AJ66&amp;"")&lt;&gt;"",AND(Skills!$B$10&lt;&gt;"",ISNUMBER(SEARCH(Skills!$B$10,AU66)))),1,0))</f>
        <v/>
      </c>
      <c r="BD66" s="23">
        <f>IF(AR66="","",IF(OR(TRIM(AK66&amp;"")&lt;&gt;"",AND(Skills!$B$11&lt;&gt;"",ISNUMBER(SEARCH(Skills!$B$11,AU66)))),1,0))</f>
        <v/>
      </c>
      <c r="BE66" s="23">
        <f>IF(AR66="","",IF(OR(TRIM(AL66&amp;"")&lt;&gt;"",AND(Skills!$B$12&lt;&gt;"",ISNUMBER(SEARCH(Skills!$B$12,AU66)))),1,0))</f>
        <v/>
      </c>
      <c r="BF66" s="23">
        <f>IF(AR66="","",IF(OR(TRIM(AM66&amp;"")&lt;&gt;"",AND(Skills!$B$13&lt;&gt;"",ISNUMBER(SEARCH(Skills!$B$13,AU66)))),1,0))</f>
        <v/>
      </c>
      <c r="BG66" s="23">
        <f>IF(AR66="","",IF(OR(TRIM(AN66&amp;"")&lt;&gt;"",AND(Skills!$B$14&lt;&gt;"",ISNUMBER(SEARCH(Skills!$B$14,AU66)))),1,0))</f>
        <v/>
      </c>
      <c r="BH66" s="23">
        <f>IF(AR66="","",IF(OR(TRIM(AO66&amp;"")&lt;&gt;"",AND(Skills!$B$15&lt;&gt;"",ISNUMBER(SEARCH(Skills!$B$15,AU66)))),1,0))</f>
        <v/>
      </c>
      <c r="BI66" s="23">
        <f>IF(AR66="","",IF(OR(TRIM(AP66&amp;"")&lt;&gt;"",AND(Skills!$B$16&lt;&gt;"",ISNUMBER(SEARCH(Skills!$B$16,AU66)))),1,0))</f>
        <v/>
      </c>
      <c r="BJ66" s="23">
        <f>IF(AR66="","",SUMPRODUCT($AX66:$BI66,Skills!$B$20:$M$20))</f>
        <v/>
      </c>
      <c r="BK66" s="23">
        <f>IF(AR66="","",BJ66*100000+(100000-ROW()))</f>
        <v/>
      </c>
      <c r="BL66" s="31">
        <f>IF(AR66="","",IF((IF(AND(AX66=1,Skills!$B$20=1),Skills!$B$5&amp;", ","")&amp;IF(AND(AY66=1,Skills!$C$20=1),Skills!$B$6&amp;", ","")&amp;IF(AND(AZ66=1,Skills!$D$20=1),Skills!$B$7&amp;", ","")&amp;IF(AND(BA66=1,Skills!$E$20=1),Skills!$B$8&amp;", ","")&amp;IF(AND(BB66=1,Skills!$F$20=1),Skills!$B$9&amp;", ","")&amp;IF(AND(BC66=1,Skills!$G$20=1),Skills!$B$10&amp;", ","")&amp;IF(AND(BD66=1,Skills!$H$20=1),Skills!$B$11&amp;", ","")&amp;IF(AND(BE66=1,Skills!$I$20=1),Skills!$B$12&amp;", ","")&amp;IF(AND(BF66=1,Skills!$J$20=1),Skills!$B$13&amp;", ","")&amp;IF(AND(BG66=1,Skills!$K$20=1),Skills!$B$14&amp;", ","")&amp;IF(AND(BH66=1,Skills!$L$20=1),Skills!$B$15&amp;", ","")&amp;IF(AND(BI66=1,Skills!$M$20=1),Skills!$B$16&amp;", ",""))="","",LEFT(IF(AND(AX66=1,Skills!$B$20=1),Skills!$B$5&amp;", ","")&amp;IF(AND(AY66=1,Skills!$C$20=1),Skills!$B$6&amp;", ","")&amp;IF(AND(AZ66=1,Skills!$D$20=1),Skills!$B$7&amp;", ","")&amp;IF(AND(BA66=1,Skills!$E$20=1),Skills!$B$8&amp;", ","")&amp;IF(AND(BB66=1,Skills!$F$20=1),Skills!$B$9&amp;", ","")&amp;IF(AND(BC66=1,Skills!$G$20=1),Skills!$B$10&amp;", ","")&amp;IF(AND(BD66=1,Skills!$H$20=1),Skills!$B$11&amp;", ","")&amp;IF(AND(BE66=1,Skills!$I$20=1),Skills!$B$12&amp;", ","")&amp;IF(AND(BF66=1,Skills!$J$20=1),Skills!$B$13&amp;", ","")&amp;IF(AND(BG66=1,Skills!$K$20=1),Skills!$B$14&amp;", ","")&amp;IF(AND(BH66=1,Skills!$L$20=1),Skills!$B$15&amp;", ","")&amp;IF(AND(BI66=1,Skills!$M$20=1),Skills!$B$16&amp;", ",""),LEN(IF(AND(AX66=1,Skills!$B$20=1),Skills!$B$5&amp;", ","")&amp;IF(AND(AY66=1,Skills!$C$20=1),Skills!$B$6&amp;", ","")&amp;IF(AND(AZ66=1,Skills!$D$20=1),Skills!$B$7&amp;", ","")&amp;IF(AND(BA66=1,Skills!$E$20=1),Skills!$B$8&amp;", ","")&amp;IF(AND(BB66=1,Skills!$F$20=1),Skills!$B$9&amp;", ","")&amp;IF(AND(BC66=1,Skills!$G$20=1),Skills!$B$10&amp;", ","")&amp;IF(AND(BD66=1,Skills!$H$20=1),Skills!$B$11&amp;", ","")&amp;IF(AND(BE66=1,Skills!$I$20=1),Skills!$B$12&amp;", ","")&amp;IF(AND(BF66=1,Skills!$J$20=1),Skills!$B$13&amp;", ","")&amp;IF(AND(BG66=1,Skills!$K$20=1),Skills!$B$14&amp;", ","")&amp;IF(AND(BH66=1,Skills!$L$20=1),Skills!$B$15&amp;", ","")&amp;IF(AND(BI66=1,Skills!$M$20=1),Skills!$B$16&amp;", ",""))-2)))</f>
        <v/>
      </c>
    </row>
    <row r="67">
      <c r="AD67" s="20" t="n"/>
      <c r="AE67" s="20" t="n"/>
      <c r="AF67" s="20" t="n"/>
      <c r="AG67" s="20" t="n"/>
      <c r="AH67" s="20" t="n"/>
      <c r="AI67" s="20" t="n"/>
      <c r="AJ67" s="20" t="n"/>
      <c r="AK67" s="20" t="n"/>
      <c r="AL67" s="20" t="n"/>
      <c r="AM67" s="20" t="n"/>
      <c r="AN67" s="20" t="n"/>
      <c r="AO67" s="20" t="n"/>
      <c r="AP67" s="20" t="n"/>
      <c r="AR67" s="31">
        <f>IF(IFERROR(TRIM(INDEX($A67:$AB67,MATCH(Lists!$B$5,$A$1:$AB$1,0))&amp;""),"")&lt;&gt;"",IFERROR(TRIM(INDEX($A67:$AB67,MATCH(Lists!$B$5,$A$1:$AB$1,0))&amp;""),""),IFERROR(TRIM(INDEX($A67:$AB67,MATCH(Lists!$B$3,$A$1:$AB$1,0))&amp;""),""))</f>
        <v/>
      </c>
      <c r="AS67" s="31">
        <f>IF(AR67="","",IF(IFERROR(TRIM(INDEX($A67:$AB67,MATCH(Lists!$B$5,$A$1:$AB$1,0))&amp;""),"")&lt;&gt;"","Nominated","Applied"))</f>
        <v/>
      </c>
      <c r="AT67" s="31">
        <f>IF(AR67="","",IF(IFERROR(TRIM(INDEX($A67:$AB67,MATCH(Lists!$B$5,$A$1:$AB$1,0))&amp;""),"")&lt;&gt;"",IFERROR(TRIM(INDEX($A67:$AB67,MATCH(Lists!$B$6,$A$1:$AB$1,0))&amp;""),""),IFERROR(TRIM(INDEX($A67:$AB67,MATCH(Lists!$B$4,$A$1:$AB$1,0))&amp;""),"")))</f>
        <v/>
      </c>
      <c r="AU67" s="31">
        <f>IF(AR67="","",IFERROR(TRIM(INDEX($A67:$AB67,MATCH(Lists!$B$7,$A$1:$AB$1,0))&amp;""),""))</f>
        <v/>
      </c>
      <c r="AV67" s="31">
        <f>IF(AR67="","",IFERROR(TRIM(INDEX($A67:$AB67,MATCH(Lists!$B$9,$A$1:$AB$1,0))&amp;""),""))</f>
        <v/>
      </c>
      <c r="AW67" s="31">
        <f>IF(AR67="","",IFERROR(TRIM(INDEX($A67:$AB67,MATCH(Lists!$B$8,$A$1:$AB$1,0))&amp;""),""))</f>
        <v/>
      </c>
      <c r="AX67" s="23">
        <f>IF(AR67="","",IF(OR(TRIM(AE67&amp;"")&lt;&gt;"",AND(Skills!$B$5&lt;&gt;"",ISNUMBER(SEARCH(Skills!$B$5,AU67)))),1,0))</f>
        <v/>
      </c>
      <c r="AY67" s="23">
        <f>IF(AR67="","",IF(OR(TRIM(AF67&amp;"")&lt;&gt;"",AND(Skills!$B$6&lt;&gt;"",ISNUMBER(SEARCH(Skills!$B$6,AU67)))),1,0))</f>
        <v/>
      </c>
      <c r="AZ67" s="23">
        <f>IF(AR67="","",IF(OR(TRIM(AG67&amp;"")&lt;&gt;"",AND(Skills!$B$7&lt;&gt;"",ISNUMBER(SEARCH(Skills!$B$7,AU67)))),1,0))</f>
        <v/>
      </c>
      <c r="BA67" s="23">
        <f>IF(AR67="","",IF(OR(TRIM(AH67&amp;"")&lt;&gt;"",AND(Skills!$B$8&lt;&gt;"",ISNUMBER(SEARCH(Skills!$B$8,AU67)))),1,0))</f>
        <v/>
      </c>
      <c r="BB67" s="23">
        <f>IF(AR67="","",IF(OR(TRIM(AI67&amp;"")&lt;&gt;"",AND(Skills!$B$9&lt;&gt;"",ISNUMBER(SEARCH(Skills!$B$9,AU67)))),1,0))</f>
        <v/>
      </c>
      <c r="BC67" s="23">
        <f>IF(AR67="","",IF(OR(TRIM(AJ67&amp;"")&lt;&gt;"",AND(Skills!$B$10&lt;&gt;"",ISNUMBER(SEARCH(Skills!$B$10,AU67)))),1,0))</f>
        <v/>
      </c>
      <c r="BD67" s="23">
        <f>IF(AR67="","",IF(OR(TRIM(AK67&amp;"")&lt;&gt;"",AND(Skills!$B$11&lt;&gt;"",ISNUMBER(SEARCH(Skills!$B$11,AU67)))),1,0))</f>
        <v/>
      </c>
      <c r="BE67" s="23">
        <f>IF(AR67="","",IF(OR(TRIM(AL67&amp;"")&lt;&gt;"",AND(Skills!$B$12&lt;&gt;"",ISNUMBER(SEARCH(Skills!$B$12,AU67)))),1,0))</f>
        <v/>
      </c>
      <c r="BF67" s="23">
        <f>IF(AR67="","",IF(OR(TRIM(AM67&amp;"")&lt;&gt;"",AND(Skills!$B$13&lt;&gt;"",ISNUMBER(SEARCH(Skills!$B$13,AU67)))),1,0))</f>
        <v/>
      </c>
      <c r="BG67" s="23">
        <f>IF(AR67="","",IF(OR(TRIM(AN67&amp;"")&lt;&gt;"",AND(Skills!$B$14&lt;&gt;"",ISNUMBER(SEARCH(Skills!$B$14,AU67)))),1,0))</f>
        <v/>
      </c>
      <c r="BH67" s="23">
        <f>IF(AR67="","",IF(OR(TRIM(AO67&amp;"")&lt;&gt;"",AND(Skills!$B$15&lt;&gt;"",ISNUMBER(SEARCH(Skills!$B$15,AU67)))),1,0))</f>
        <v/>
      </c>
      <c r="BI67" s="23">
        <f>IF(AR67="","",IF(OR(TRIM(AP67&amp;"")&lt;&gt;"",AND(Skills!$B$16&lt;&gt;"",ISNUMBER(SEARCH(Skills!$B$16,AU67)))),1,0))</f>
        <v/>
      </c>
      <c r="BJ67" s="23">
        <f>IF(AR67="","",SUMPRODUCT($AX67:$BI67,Skills!$B$20:$M$20))</f>
        <v/>
      </c>
      <c r="BK67" s="23">
        <f>IF(AR67="","",BJ67*100000+(100000-ROW()))</f>
        <v/>
      </c>
      <c r="BL67" s="31">
        <f>IF(AR67="","",IF((IF(AND(AX67=1,Skills!$B$20=1),Skills!$B$5&amp;", ","")&amp;IF(AND(AY67=1,Skills!$C$20=1),Skills!$B$6&amp;", ","")&amp;IF(AND(AZ67=1,Skills!$D$20=1),Skills!$B$7&amp;", ","")&amp;IF(AND(BA67=1,Skills!$E$20=1),Skills!$B$8&amp;", ","")&amp;IF(AND(BB67=1,Skills!$F$20=1),Skills!$B$9&amp;", ","")&amp;IF(AND(BC67=1,Skills!$G$20=1),Skills!$B$10&amp;", ","")&amp;IF(AND(BD67=1,Skills!$H$20=1),Skills!$B$11&amp;", ","")&amp;IF(AND(BE67=1,Skills!$I$20=1),Skills!$B$12&amp;", ","")&amp;IF(AND(BF67=1,Skills!$J$20=1),Skills!$B$13&amp;", ","")&amp;IF(AND(BG67=1,Skills!$K$20=1),Skills!$B$14&amp;", ","")&amp;IF(AND(BH67=1,Skills!$L$20=1),Skills!$B$15&amp;", ","")&amp;IF(AND(BI67=1,Skills!$M$20=1),Skills!$B$16&amp;", ",""))="","",LEFT(IF(AND(AX67=1,Skills!$B$20=1),Skills!$B$5&amp;", ","")&amp;IF(AND(AY67=1,Skills!$C$20=1),Skills!$B$6&amp;", ","")&amp;IF(AND(AZ67=1,Skills!$D$20=1),Skills!$B$7&amp;", ","")&amp;IF(AND(BA67=1,Skills!$E$20=1),Skills!$B$8&amp;", ","")&amp;IF(AND(BB67=1,Skills!$F$20=1),Skills!$B$9&amp;", ","")&amp;IF(AND(BC67=1,Skills!$G$20=1),Skills!$B$10&amp;", ","")&amp;IF(AND(BD67=1,Skills!$H$20=1),Skills!$B$11&amp;", ","")&amp;IF(AND(BE67=1,Skills!$I$20=1),Skills!$B$12&amp;", ","")&amp;IF(AND(BF67=1,Skills!$J$20=1),Skills!$B$13&amp;", ","")&amp;IF(AND(BG67=1,Skills!$K$20=1),Skills!$B$14&amp;", ","")&amp;IF(AND(BH67=1,Skills!$L$20=1),Skills!$B$15&amp;", ","")&amp;IF(AND(BI67=1,Skills!$M$20=1),Skills!$B$16&amp;", ",""),LEN(IF(AND(AX67=1,Skills!$B$20=1),Skills!$B$5&amp;", ","")&amp;IF(AND(AY67=1,Skills!$C$20=1),Skills!$B$6&amp;", ","")&amp;IF(AND(AZ67=1,Skills!$D$20=1),Skills!$B$7&amp;", ","")&amp;IF(AND(BA67=1,Skills!$E$20=1),Skills!$B$8&amp;", ","")&amp;IF(AND(BB67=1,Skills!$F$20=1),Skills!$B$9&amp;", ","")&amp;IF(AND(BC67=1,Skills!$G$20=1),Skills!$B$10&amp;", ","")&amp;IF(AND(BD67=1,Skills!$H$20=1),Skills!$B$11&amp;", ","")&amp;IF(AND(BE67=1,Skills!$I$20=1),Skills!$B$12&amp;", ","")&amp;IF(AND(BF67=1,Skills!$J$20=1),Skills!$B$13&amp;", ","")&amp;IF(AND(BG67=1,Skills!$K$20=1),Skills!$B$14&amp;", ","")&amp;IF(AND(BH67=1,Skills!$L$20=1),Skills!$B$15&amp;", ","")&amp;IF(AND(BI67=1,Skills!$M$20=1),Skills!$B$16&amp;", ",""))-2)))</f>
        <v/>
      </c>
    </row>
    <row r="68">
      <c r="AD68" s="20" t="n"/>
      <c r="AE68" s="20" t="n"/>
      <c r="AF68" s="20" t="n"/>
      <c r="AG68" s="20" t="n"/>
      <c r="AH68" s="20" t="n"/>
      <c r="AI68" s="20" t="n"/>
      <c r="AJ68" s="20" t="n"/>
      <c r="AK68" s="20" t="n"/>
      <c r="AL68" s="20" t="n"/>
      <c r="AM68" s="20" t="n"/>
      <c r="AN68" s="20" t="n"/>
      <c r="AO68" s="20" t="n"/>
      <c r="AP68" s="20" t="n"/>
      <c r="AR68" s="31">
        <f>IF(IFERROR(TRIM(INDEX($A68:$AB68,MATCH(Lists!$B$5,$A$1:$AB$1,0))&amp;""),"")&lt;&gt;"",IFERROR(TRIM(INDEX($A68:$AB68,MATCH(Lists!$B$5,$A$1:$AB$1,0))&amp;""),""),IFERROR(TRIM(INDEX($A68:$AB68,MATCH(Lists!$B$3,$A$1:$AB$1,0))&amp;""),""))</f>
        <v/>
      </c>
      <c r="AS68" s="31">
        <f>IF(AR68="","",IF(IFERROR(TRIM(INDEX($A68:$AB68,MATCH(Lists!$B$5,$A$1:$AB$1,0))&amp;""),"")&lt;&gt;"","Nominated","Applied"))</f>
        <v/>
      </c>
      <c r="AT68" s="31">
        <f>IF(AR68="","",IF(IFERROR(TRIM(INDEX($A68:$AB68,MATCH(Lists!$B$5,$A$1:$AB$1,0))&amp;""),"")&lt;&gt;"",IFERROR(TRIM(INDEX($A68:$AB68,MATCH(Lists!$B$6,$A$1:$AB$1,0))&amp;""),""),IFERROR(TRIM(INDEX($A68:$AB68,MATCH(Lists!$B$4,$A$1:$AB$1,0))&amp;""),"")))</f>
        <v/>
      </c>
      <c r="AU68" s="31">
        <f>IF(AR68="","",IFERROR(TRIM(INDEX($A68:$AB68,MATCH(Lists!$B$7,$A$1:$AB$1,0))&amp;""),""))</f>
        <v/>
      </c>
      <c r="AV68" s="31">
        <f>IF(AR68="","",IFERROR(TRIM(INDEX($A68:$AB68,MATCH(Lists!$B$9,$A$1:$AB$1,0))&amp;""),""))</f>
        <v/>
      </c>
      <c r="AW68" s="31">
        <f>IF(AR68="","",IFERROR(TRIM(INDEX($A68:$AB68,MATCH(Lists!$B$8,$A$1:$AB$1,0))&amp;""),""))</f>
        <v/>
      </c>
      <c r="AX68" s="23">
        <f>IF(AR68="","",IF(OR(TRIM(AE68&amp;"")&lt;&gt;"",AND(Skills!$B$5&lt;&gt;"",ISNUMBER(SEARCH(Skills!$B$5,AU68)))),1,0))</f>
        <v/>
      </c>
      <c r="AY68" s="23">
        <f>IF(AR68="","",IF(OR(TRIM(AF68&amp;"")&lt;&gt;"",AND(Skills!$B$6&lt;&gt;"",ISNUMBER(SEARCH(Skills!$B$6,AU68)))),1,0))</f>
        <v/>
      </c>
      <c r="AZ68" s="23">
        <f>IF(AR68="","",IF(OR(TRIM(AG68&amp;"")&lt;&gt;"",AND(Skills!$B$7&lt;&gt;"",ISNUMBER(SEARCH(Skills!$B$7,AU68)))),1,0))</f>
        <v/>
      </c>
      <c r="BA68" s="23">
        <f>IF(AR68="","",IF(OR(TRIM(AH68&amp;"")&lt;&gt;"",AND(Skills!$B$8&lt;&gt;"",ISNUMBER(SEARCH(Skills!$B$8,AU68)))),1,0))</f>
        <v/>
      </c>
      <c r="BB68" s="23">
        <f>IF(AR68="","",IF(OR(TRIM(AI68&amp;"")&lt;&gt;"",AND(Skills!$B$9&lt;&gt;"",ISNUMBER(SEARCH(Skills!$B$9,AU68)))),1,0))</f>
        <v/>
      </c>
      <c r="BC68" s="23">
        <f>IF(AR68="","",IF(OR(TRIM(AJ68&amp;"")&lt;&gt;"",AND(Skills!$B$10&lt;&gt;"",ISNUMBER(SEARCH(Skills!$B$10,AU68)))),1,0))</f>
        <v/>
      </c>
      <c r="BD68" s="23">
        <f>IF(AR68="","",IF(OR(TRIM(AK68&amp;"")&lt;&gt;"",AND(Skills!$B$11&lt;&gt;"",ISNUMBER(SEARCH(Skills!$B$11,AU68)))),1,0))</f>
        <v/>
      </c>
      <c r="BE68" s="23">
        <f>IF(AR68="","",IF(OR(TRIM(AL68&amp;"")&lt;&gt;"",AND(Skills!$B$12&lt;&gt;"",ISNUMBER(SEARCH(Skills!$B$12,AU68)))),1,0))</f>
        <v/>
      </c>
      <c r="BF68" s="23">
        <f>IF(AR68="","",IF(OR(TRIM(AM68&amp;"")&lt;&gt;"",AND(Skills!$B$13&lt;&gt;"",ISNUMBER(SEARCH(Skills!$B$13,AU68)))),1,0))</f>
        <v/>
      </c>
      <c r="BG68" s="23">
        <f>IF(AR68="","",IF(OR(TRIM(AN68&amp;"")&lt;&gt;"",AND(Skills!$B$14&lt;&gt;"",ISNUMBER(SEARCH(Skills!$B$14,AU68)))),1,0))</f>
        <v/>
      </c>
      <c r="BH68" s="23">
        <f>IF(AR68="","",IF(OR(TRIM(AO68&amp;"")&lt;&gt;"",AND(Skills!$B$15&lt;&gt;"",ISNUMBER(SEARCH(Skills!$B$15,AU68)))),1,0))</f>
        <v/>
      </c>
      <c r="BI68" s="23">
        <f>IF(AR68="","",IF(OR(TRIM(AP68&amp;"")&lt;&gt;"",AND(Skills!$B$16&lt;&gt;"",ISNUMBER(SEARCH(Skills!$B$16,AU68)))),1,0))</f>
        <v/>
      </c>
      <c r="BJ68" s="23">
        <f>IF(AR68="","",SUMPRODUCT($AX68:$BI68,Skills!$B$20:$M$20))</f>
        <v/>
      </c>
      <c r="BK68" s="23">
        <f>IF(AR68="","",BJ68*100000+(100000-ROW()))</f>
        <v/>
      </c>
      <c r="BL68" s="31">
        <f>IF(AR68="","",IF((IF(AND(AX68=1,Skills!$B$20=1),Skills!$B$5&amp;", ","")&amp;IF(AND(AY68=1,Skills!$C$20=1),Skills!$B$6&amp;", ","")&amp;IF(AND(AZ68=1,Skills!$D$20=1),Skills!$B$7&amp;", ","")&amp;IF(AND(BA68=1,Skills!$E$20=1),Skills!$B$8&amp;", ","")&amp;IF(AND(BB68=1,Skills!$F$20=1),Skills!$B$9&amp;", ","")&amp;IF(AND(BC68=1,Skills!$G$20=1),Skills!$B$10&amp;", ","")&amp;IF(AND(BD68=1,Skills!$H$20=1),Skills!$B$11&amp;", ","")&amp;IF(AND(BE68=1,Skills!$I$20=1),Skills!$B$12&amp;", ","")&amp;IF(AND(BF68=1,Skills!$J$20=1),Skills!$B$13&amp;", ","")&amp;IF(AND(BG68=1,Skills!$K$20=1),Skills!$B$14&amp;", ","")&amp;IF(AND(BH68=1,Skills!$L$20=1),Skills!$B$15&amp;", ","")&amp;IF(AND(BI68=1,Skills!$M$20=1),Skills!$B$16&amp;", ",""))="","",LEFT(IF(AND(AX68=1,Skills!$B$20=1),Skills!$B$5&amp;", ","")&amp;IF(AND(AY68=1,Skills!$C$20=1),Skills!$B$6&amp;", ","")&amp;IF(AND(AZ68=1,Skills!$D$20=1),Skills!$B$7&amp;", ","")&amp;IF(AND(BA68=1,Skills!$E$20=1),Skills!$B$8&amp;", ","")&amp;IF(AND(BB68=1,Skills!$F$20=1),Skills!$B$9&amp;", ","")&amp;IF(AND(BC68=1,Skills!$G$20=1),Skills!$B$10&amp;", ","")&amp;IF(AND(BD68=1,Skills!$H$20=1),Skills!$B$11&amp;", ","")&amp;IF(AND(BE68=1,Skills!$I$20=1),Skills!$B$12&amp;", ","")&amp;IF(AND(BF68=1,Skills!$J$20=1),Skills!$B$13&amp;", ","")&amp;IF(AND(BG68=1,Skills!$K$20=1),Skills!$B$14&amp;", ","")&amp;IF(AND(BH68=1,Skills!$L$20=1),Skills!$B$15&amp;", ","")&amp;IF(AND(BI68=1,Skills!$M$20=1),Skills!$B$16&amp;", ",""),LEN(IF(AND(AX68=1,Skills!$B$20=1),Skills!$B$5&amp;", ","")&amp;IF(AND(AY68=1,Skills!$C$20=1),Skills!$B$6&amp;", ","")&amp;IF(AND(AZ68=1,Skills!$D$20=1),Skills!$B$7&amp;", ","")&amp;IF(AND(BA68=1,Skills!$E$20=1),Skills!$B$8&amp;", ","")&amp;IF(AND(BB68=1,Skills!$F$20=1),Skills!$B$9&amp;", ","")&amp;IF(AND(BC68=1,Skills!$G$20=1),Skills!$B$10&amp;", ","")&amp;IF(AND(BD68=1,Skills!$H$20=1),Skills!$B$11&amp;", ","")&amp;IF(AND(BE68=1,Skills!$I$20=1),Skills!$B$12&amp;", ","")&amp;IF(AND(BF68=1,Skills!$J$20=1),Skills!$B$13&amp;", ","")&amp;IF(AND(BG68=1,Skills!$K$20=1),Skills!$B$14&amp;", ","")&amp;IF(AND(BH68=1,Skills!$L$20=1),Skills!$B$15&amp;", ","")&amp;IF(AND(BI68=1,Skills!$M$20=1),Skills!$B$16&amp;", ",""))-2)))</f>
        <v/>
      </c>
    </row>
    <row r="69">
      <c r="AD69" s="20" t="n"/>
      <c r="AE69" s="20" t="n"/>
      <c r="AF69" s="20" t="n"/>
      <c r="AG69" s="20" t="n"/>
      <c r="AH69" s="20" t="n"/>
      <c r="AI69" s="20" t="n"/>
      <c r="AJ69" s="20" t="n"/>
      <c r="AK69" s="20" t="n"/>
      <c r="AL69" s="20" t="n"/>
      <c r="AM69" s="20" t="n"/>
      <c r="AN69" s="20" t="n"/>
      <c r="AO69" s="20" t="n"/>
      <c r="AP69" s="20" t="n"/>
      <c r="AR69" s="31">
        <f>IF(IFERROR(TRIM(INDEX($A69:$AB69,MATCH(Lists!$B$5,$A$1:$AB$1,0))&amp;""),"")&lt;&gt;"",IFERROR(TRIM(INDEX($A69:$AB69,MATCH(Lists!$B$5,$A$1:$AB$1,0))&amp;""),""),IFERROR(TRIM(INDEX($A69:$AB69,MATCH(Lists!$B$3,$A$1:$AB$1,0))&amp;""),""))</f>
        <v/>
      </c>
      <c r="AS69" s="31">
        <f>IF(AR69="","",IF(IFERROR(TRIM(INDEX($A69:$AB69,MATCH(Lists!$B$5,$A$1:$AB$1,0))&amp;""),"")&lt;&gt;"","Nominated","Applied"))</f>
        <v/>
      </c>
      <c r="AT69" s="31">
        <f>IF(AR69="","",IF(IFERROR(TRIM(INDEX($A69:$AB69,MATCH(Lists!$B$5,$A$1:$AB$1,0))&amp;""),"")&lt;&gt;"",IFERROR(TRIM(INDEX($A69:$AB69,MATCH(Lists!$B$6,$A$1:$AB$1,0))&amp;""),""),IFERROR(TRIM(INDEX($A69:$AB69,MATCH(Lists!$B$4,$A$1:$AB$1,0))&amp;""),"")))</f>
        <v/>
      </c>
      <c r="AU69" s="31">
        <f>IF(AR69="","",IFERROR(TRIM(INDEX($A69:$AB69,MATCH(Lists!$B$7,$A$1:$AB$1,0))&amp;""),""))</f>
        <v/>
      </c>
      <c r="AV69" s="31">
        <f>IF(AR69="","",IFERROR(TRIM(INDEX($A69:$AB69,MATCH(Lists!$B$9,$A$1:$AB$1,0))&amp;""),""))</f>
        <v/>
      </c>
      <c r="AW69" s="31">
        <f>IF(AR69="","",IFERROR(TRIM(INDEX($A69:$AB69,MATCH(Lists!$B$8,$A$1:$AB$1,0))&amp;""),""))</f>
        <v/>
      </c>
      <c r="AX69" s="23">
        <f>IF(AR69="","",IF(OR(TRIM(AE69&amp;"")&lt;&gt;"",AND(Skills!$B$5&lt;&gt;"",ISNUMBER(SEARCH(Skills!$B$5,AU69)))),1,0))</f>
        <v/>
      </c>
      <c r="AY69" s="23">
        <f>IF(AR69="","",IF(OR(TRIM(AF69&amp;"")&lt;&gt;"",AND(Skills!$B$6&lt;&gt;"",ISNUMBER(SEARCH(Skills!$B$6,AU69)))),1,0))</f>
        <v/>
      </c>
      <c r="AZ69" s="23">
        <f>IF(AR69="","",IF(OR(TRIM(AG69&amp;"")&lt;&gt;"",AND(Skills!$B$7&lt;&gt;"",ISNUMBER(SEARCH(Skills!$B$7,AU69)))),1,0))</f>
        <v/>
      </c>
      <c r="BA69" s="23">
        <f>IF(AR69="","",IF(OR(TRIM(AH69&amp;"")&lt;&gt;"",AND(Skills!$B$8&lt;&gt;"",ISNUMBER(SEARCH(Skills!$B$8,AU69)))),1,0))</f>
        <v/>
      </c>
      <c r="BB69" s="23">
        <f>IF(AR69="","",IF(OR(TRIM(AI69&amp;"")&lt;&gt;"",AND(Skills!$B$9&lt;&gt;"",ISNUMBER(SEARCH(Skills!$B$9,AU69)))),1,0))</f>
        <v/>
      </c>
      <c r="BC69" s="23">
        <f>IF(AR69="","",IF(OR(TRIM(AJ69&amp;"")&lt;&gt;"",AND(Skills!$B$10&lt;&gt;"",ISNUMBER(SEARCH(Skills!$B$10,AU69)))),1,0))</f>
        <v/>
      </c>
      <c r="BD69" s="23">
        <f>IF(AR69="","",IF(OR(TRIM(AK69&amp;"")&lt;&gt;"",AND(Skills!$B$11&lt;&gt;"",ISNUMBER(SEARCH(Skills!$B$11,AU69)))),1,0))</f>
        <v/>
      </c>
      <c r="BE69" s="23">
        <f>IF(AR69="","",IF(OR(TRIM(AL69&amp;"")&lt;&gt;"",AND(Skills!$B$12&lt;&gt;"",ISNUMBER(SEARCH(Skills!$B$12,AU69)))),1,0))</f>
        <v/>
      </c>
      <c r="BF69" s="23">
        <f>IF(AR69="","",IF(OR(TRIM(AM69&amp;"")&lt;&gt;"",AND(Skills!$B$13&lt;&gt;"",ISNUMBER(SEARCH(Skills!$B$13,AU69)))),1,0))</f>
        <v/>
      </c>
      <c r="BG69" s="23">
        <f>IF(AR69="","",IF(OR(TRIM(AN69&amp;"")&lt;&gt;"",AND(Skills!$B$14&lt;&gt;"",ISNUMBER(SEARCH(Skills!$B$14,AU69)))),1,0))</f>
        <v/>
      </c>
      <c r="BH69" s="23">
        <f>IF(AR69="","",IF(OR(TRIM(AO69&amp;"")&lt;&gt;"",AND(Skills!$B$15&lt;&gt;"",ISNUMBER(SEARCH(Skills!$B$15,AU69)))),1,0))</f>
        <v/>
      </c>
      <c r="BI69" s="23">
        <f>IF(AR69="","",IF(OR(TRIM(AP69&amp;"")&lt;&gt;"",AND(Skills!$B$16&lt;&gt;"",ISNUMBER(SEARCH(Skills!$B$16,AU69)))),1,0))</f>
        <v/>
      </c>
      <c r="BJ69" s="23">
        <f>IF(AR69="","",SUMPRODUCT($AX69:$BI69,Skills!$B$20:$M$20))</f>
        <v/>
      </c>
      <c r="BK69" s="23">
        <f>IF(AR69="","",BJ69*100000+(100000-ROW()))</f>
        <v/>
      </c>
      <c r="BL69" s="31">
        <f>IF(AR69="","",IF((IF(AND(AX69=1,Skills!$B$20=1),Skills!$B$5&amp;", ","")&amp;IF(AND(AY69=1,Skills!$C$20=1),Skills!$B$6&amp;", ","")&amp;IF(AND(AZ69=1,Skills!$D$20=1),Skills!$B$7&amp;", ","")&amp;IF(AND(BA69=1,Skills!$E$20=1),Skills!$B$8&amp;", ","")&amp;IF(AND(BB69=1,Skills!$F$20=1),Skills!$B$9&amp;", ","")&amp;IF(AND(BC69=1,Skills!$G$20=1),Skills!$B$10&amp;", ","")&amp;IF(AND(BD69=1,Skills!$H$20=1),Skills!$B$11&amp;", ","")&amp;IF(AND(BE69=1,Skills!$I$20=1),Skills!$B$12&amp;", ","")&amp;IF(AND(BF69=1,Skills!$J$20=1),Skills!$B$13&amp;", ","")&amp;IF(AND(BG69=1,Skills!$K$20=1),Skills!$B$14&amp;", ","")&amp;IF(AND(BH69=1,Skills!$L$20=1),Skills!$B$15&amp;", ","")&amp;IF(AND(BI69=1,Skills!$M$20=1),Skills!$B$16&amp;", ",""))="","",LEFT(IF(AND(AX69=1,Skills!$B$20=1),Skills!$B$5&amp;", ","")&amp;IF(AND(AY69=1,Skills!$C$20=1),Skills!$B$6&amp;", ","")&amp;IF(AND(AZ69=1,Skills!$D$20=1),Skills!$B$7&amp;", ","")&amp;IF(AND(BA69=1,Skills!$E$20=1),Skills!$B$8&amp;", ","")&amp;IF(AND(BB69=1,Skills!$F$20=1),Skills!$B$9&amp;", ","")&amp;IF(AND(BC69=1,Skills!$G$20=1),Skills!$B$10&amp;", ","")&amp;IF(AND(BD69=1,Skills!$H$20=1),Skills!$B$11&amp;", ","")&amp;IF(AND(BE69=1,Skills!$I$20=1),Skills!$B$12&amp;", ","")&amp;IF(AND(BF69=1,Skills!$J$20=1),Skills!$B$13&amp;", ","")&amp;IF(AND(BG69=1,Skills!$K$20=1),Skills!$B$14&amp;", ","")&amp;IF(AND(BH69=1,Skills!$L$20=1),Skills!$B$15&amp;", ","")&amp;IF(AND(BI69=1,Skills!$M$20=1),Skills!$B$16&amp;", ",""),LEN(IF(AND(AX69=1,Skills!$B$20=1),Skills!$B$5&amp;", ","")&amp;IF(AND(AY69=1,Skills!$C$20=1),Skills!$B$6&amp;", ","")&amp;IF(AND(AZ69=1,Skills!$D$20=1),Skills!$B$7&amp;", ","")&amp;IF(AND(BA69=1,Skills!$E$20=1),Skills!$B$8&amp;", ","")&amp;IF(AND(BB69=1,Skills!$F$20=1),Skills!$B$9&amp;", ","")&amp;IF(AND(BC69=1,Skills!$G$20=1),Skills!$B$10&amp;", ","")&amp;IF(AND(BD69=1,Skills!$H$20=1),Skills!$B$11&amp;", ","")&amp;IF(AND(BE69=1,Skills!$I$20=1),Skills!$B$12&amp;", ","")&amp;IF(AND(BF69=1,Skills!$J$20=1),Skills!$B$13&amp;", ","")&amp;IF(AND(BG69=1,Skills!$K$20=1),Skills!$B$14&amp;", ","")&amp;IF(AND(BH69=1,Skills!$L$20=1),Skills!$B$15&amp;", ","")&amp;IF(AND(BI69=1,Skills!$M$20=1),Skills!$B$16&amp;", ",""))-2)))</f>
        <v/>
      </c>
    </row>
    <row r="70">
      <c r="AD70" s="20" t="n"/>
      <c r="AE70" s="20" t="n"/>
      <c r="AF70" s="20" t="n"/>
      <c r="AG70" s="20" t="n"/>
      <c r="AH70" s="20" t="n"/>
      <c r="AI70" s="20" t="n"/>
      <c r="AJ70" s="20" t="n"/>
      <c r="AK70" s="20" t="n"/>
      <c r="AL70" s="20" t="n"/>
      <c r="AM70" s="20" t="n"/>
      <c r="AN70" s="20" t="n"/>
      <c r="AO70" s="20" t="n"/>
      <c r="AP70" s="20" t="n"/>
      <c r="AR70" s="31">
        <f>IF(IFERROR(TRIM(INDEX($A70:$AB70,MATCH(Lists!$B$5,$A$1:$AB$1,0))&amp;""),"")&lt;&gt;"",IFERROR(TRIM(INDEX($A70:$AB70,MATCH(Lists!$B$5,$A$1:$AB$1,0))&amp;""),""),IFERROR(TRIM(INDEX($A70:$AB70,MATCH(Lists!$B$3,$A$1:$AB$1,0))&amp;""),""))</f>
        <v/>
      </c>
      <c r="AS70" s="31">
        <f>IF(AR70="","",IF(IFERROR(TRIM(INDEX($A70:$AB70,MATCH(Lists!$B$5,$A$1:$AB$1,0))&amp;""),"")&lt;&gt;"","Nominated","Applied"))</f>
        <v/>
      </c>
      <c r="AT70" s="31">
        <f>IF(AR70="","",IF(IFERROR(TRIM(INDEX($A70:$AB70,MATCH(Lists!$B$5,$A$1:$AB$1,0))&amp;""),"")&lt;&gt;"",IFERROR(TRIM(INDEX($A70:$AB70,MATCH(Lists!$B$6,$A$1:$AB$1,0))&amp;""),""),IFERROR(TRIM(INDEX($A70:$AB70,MATCH(Lists!$B$4,$A$1:$AB$1,0))&amp;""),"")))</f>
        <v/>
      </c>
      <c r="AU70" s="31">
        <f>IF(AR70="","",IFERROR(TRIM(INDEX($A70:$AB70,MATCH(Lists!$B$7,$A$1:$AB$1,0))&amp;""),""))</f>
        <v/>
      </c>
      <c r="AV70" s="31">
        <f>IF(AR70="","",IFERROR(TRIM(INDEX($A70:$AB70,MATCH(Lists!$B$9,$A$1:$AB$1,0))&amp;""),""))</f>
        <v/>
      </c>
      <c r="AW70" s="31">
        <f>IF(AR70="","",IFERROR(TRIM(INDEX($A70:$AB70,MATCH(Lists!$B$8,$A$1:$AB$1,0))&amp;""),""))</f>
        <v/>
      </c>
      <c r="AX70" s="23">
        <f>IF(AR70="","",IF(OR(TRIM(AE70&amp;"")&lt;&gt;"",AND(Skills!$B$5&lt;&gt;"",ISNUMBER(SEARCH(Skills!$B$5,AU70)))),1,0))</f>
        <v/>
      </c>
      <c r="AY70" s="23">
        <f>IF(AR70="","",IF(OR(TRIM(AF70&amp;"")&lt;&gt;"",AND(Skills!$B$6&lt;&gt;"",ISNUMBER(SEARCH(Skills!$B$6,AU70)))),1,0))</f>
        <v/>
      </c>
      <c r="AZ70" s="23">
        <f>IF(AR70="","",IF(OR(TRIM(AG70&amp;"")&lt;&gt;"",AND(Skills!$B$7&lt;&gt;"",ISNUMBER(SEARCH(Skills!$B$7,AU70)))),1,0))</f>
        <v/>
      </c>
      <c r="BA70" s="23">
        <f>IF(AR70="","",IF(OR(TRIM(AH70&amp;"")&lt;&gt;"",AND(Skills!$B$8&lt;&gt;"",ISNUMBER(SEARCH(Skills!$B$8,AU70)))),1,0))</f>
        <v/>
      </c>
      <c r="BB70" s="23">
        <f>IF(AR70="","",IF(OR(TRIM(AI70&amp;"")&lt;&gt;"",AND(Skills!$B$9&lt;&gt;"",ISNUMBER(SEARCH(Skills!$B$9,AU70)))),1,0))</f>
        <v/>
      </c>
      <c r="BC70" s="23">
        <f>IF(AR70="","",IF(OR(TRIM(AJ70&amp;"")&lt;&gt;"",AND(Skills!$B$10&lt;&gt;"",ISNUMBER(SEARCH(Skills!$B$10,AU70)))),1,0))</f>
        <v/>
      </c>
      <c r="BD70" s="23">
        <f>IF(AR70="","",IF(OR(TRIM(AK70&amp;"")&lt;&gt;"",AND(Skills!$B$11&lt;&gt;"",ISNUMBER(SEARCH(Skills!$B$11,AU70)))),1,0))</f>
        <v/>
      </c>
      <c r="BE70" s="23">
        <f>IF(AR70="","",IF(OR(TRIM(AL70&amp;"")&lt;&gt;"",AND(Skills!$B$12&lt;&gt;"",ISNUMBER(SEARCH(Skills!$B$12,AU70)))),1,0))</f>
        <v/>
      </c>
      <c r="BF70" s="23">
        <f>IF(AR70="","",IF(OR(TRIM(AM70&amp;"")&lt;&gt;"",AND(Skills!$B$13&lt;&gt;"",ISNUMBER(SEARCH(Skills!$B$13,AU70)))),1,0))</f>
        <v/>
      </c>
      <c r="BG70" s="23">
        <f>IF(AR70="","",IF(OR(TRIM(AN70&amp;"")&lt;&gt;"",AND(Skills!$B$14&lt;&gt;"",ISNUMBER(SEARCH(Skills!$B$14,AU70)))),1,0))</f>
        <v/>
      </c>
      <c r="BH70" s="23">
        <f>IF(AR70="","",IF(OR(TRIM(AO70&amp;"")&lt;&gt;"",AND(Skills!$B$15&lt;&gt;"",ISNUMBER(SEARCH(Skills!$B$15,AU70)))),1,0))</f>
        <v/>
      </c>
      <c r="BI70" s="23">
        <f>IF(AR70="","",IF(OR(TRIM(AP70&amp;"")&lt;&gt;"",AND(Skills!$B$16&lt;&gt;"",ISNUMBER(SEARCH(Skills!$B$16,AU70)))),1,0))</f>
        <v/>
      </c>
      <c r="BJ70" s="23">
        <f>IF(AR70="","",SUMPRODUCT($AX70:$BI70,Skills!$B$20:$M$20))</f>
        <v/>
      </c>
      <c r="BK70" s="23">
        <f>IF(AR70="","",BJ70*100000+(100000-ROW()))</f>
        <v/>
      </c>
      <c r="BL70" s="31">
        <f>IF(AR70="","",IF((IF(AND(AX70=1,Skills!$B$20=1),Skills!$B$5&amp;", ","")&amp;IF(AND(AY70=1,Skills!$C$20=1),Skills!$B$6&amp;", ","")&amp;IF(AND(AZ70=1,Skills!$D$20=1),Skills!$B$7&amp;", ","")&amp;IF(AND(BA70=1,Skills!$E$20=1),Skills!$B$8&amp;", ","")&amp;IF(AND(BB70=1,Skills!$F$20=1),Skills!$B$9&amp;", ","")&amp;IF(AND(BC70=1,Skills!$G$20=1),Skills!$B$10&amp;", ","")&amp;IF(AND(BD70=1,Skills!$H$20=1),Skills!$B$11&amp;", ","")&amp;IF(AND(BE70=1,Skills!$I$20=1),Skills!$B$12&amp;", ","")&amp;IF(AND(BF70=1,Skills!$J$20=1),Skills!$B$13&amp;", ","")&amp;IF(AND(BG70=1,Skills!$K$20=1),Skills!$B$14&amp;", ","")&amp;IF(AND(BH70=1,Skills!$L$20=1),Skills!$B$15&amp;", ","")&amp;IF(AND(BI70=1,Skills!$M$20=1),Skills!$B$16&amp;", ",""))="","",LEFT(IF(AND(AX70=1,Skills!$B$20=1),Skills!$B$5&amp;", ","")&amp;IF(AND(AY70=1,Skills!$C$20=1),Skills!$B$6&amp;", ","")&amp;IF(AND(AZ70=1,Skills!$D$20=1),Skills!$B$7&amp;", ","")&amp;IF(AND(BA70=1,Skills!$E$20=1),Skills!$B$8&amp;", ","")&amp;IF(AND(BB70=1,Skills!$F$20=1),Skills!$B$9&amp;", ","")&amp;IF(AND(BC70=1,Skills!$G$20=1),Skills!$B$10&amp;", ","")&amp;IF(AND(BD70=1,Skills!$H$20=1),Skills!$B$11&amp;", ","")&amp;IF(AND(BE70=1,Skills!$I$20=1),Skills!$B$12&amp;", ","")&amp;IF(AND(BF70=1,Skills!$J$20=1),Skills!$B$13&amp;", ","")&amp;IF(AND(BG70=1,Skills!$K$20=1),Skills!$B$14&amp;", ","")&amp;IF(AND(BH70=1,Skills!$L$20=1),Skills!$B$15&amp;", ","")&amp;IF(AND(BI70=1,Skills!$M$20=1),Skills!$B$16&amp;", ",""),LEN(IF(AND(AX70=1,Skills!$B$20=1),Skills!$B$5&amp;", ","")&amp;IF(AND(AY70=1,Skills!$C$20=1),Skills!$B$6&amp;", ","")&amp;IF(AND(AZ70=1,Skills!$D$20=1),Skills!$B$7&amp;", ","")&amp;IF(AND(BA70=1,Skills!$E$20=1),Skills!$B$8&amp;", ","")&amp;IF(AND(BB70=1,Skills!$F$20=1),Skills!$B$9&amp;", ","")&amp;IF(AND(BC70=1,Skills!$G$20=1),Skills!$B$10&amp;", ","")&amp;IF(AND(BD70=1,Skills!$H$20=1),Skills!$B$11&amp;", ","")&amp;IF(AND(BE70=1,Skills!$I$20=1),Skills!$B$12&amp;", ","")&amp;IF(AND(BF70=1,Skills!$J$20=1),Skills!$B$13&amp;", ","")&amp;IF(AND(BG70=1,Skills!$K$20=1),Skills!$B$14&amp;", ","")&amp;IF(AND(BH70=1,Skills!$L$20=1),Skills!$B$15&amp;", ","")&amp;IF(AND(BI70=1,Skills!$M$20=1),Skills!$B$16&amp;", ",""))-2)))</f>
        <v/>
      </c>
    </row>
    <row r="71">
      <c r="AD71" s="20" t="n"/>
      <c r="AE71" s="20" t="n"/>
      <c r="AF71" s="20" t="n"/>
      <c r="AG71" s="20" t="n"/>
      <c r="AH71" s="20" t="n"/>
      <c r="AI71" s="20" t="n"/>
      <c r="AJ71" s="20" t="n"/>
      <c r="AK71" s="20" t="n"/>
      <c r="AL71" s="20" t="n"/>
      <c r="AM71" s="20" t="n"/>
      <c r="AN71" s="20" t="n"/>
      <c r="AO71" s="20" t="n"/>
      <c r="AP71" s="20" t="n"/>
      <c r="AR71" s="31">
        <f>IF(IFERROR(TRIM(INDEX($A71:$AB71,MATCH(Lists!$B$5,$A$1:$AB$1,0))&amp;""),"")&lt;&gt;"",IFERROR(TRIM(INDEX($A71:$AB71,MATCH(Lists!$B$5,$A$1:$AB$1,0))&amp;""),""),IFERROR(TRIM(INDEX($A71:$AB71,MATCH(Lists!$B$3,$A$1:$AB$1,0))&amp;""),""))</f>
        <v/>
      </c>
      <c r="AS71" s="31">
        <f>IF(AR71="","",IF(IFERROR(TRIM(INDEX($A71:$AB71,MATCH(Lists!$B$5,$A$1:$AB$1,0))&amp;""),"")&lt;&gt;"","Nominated","Applied"))</f>
        <v/>
      </c>
      <c r="AT71" s="31">
        <f>IF(AR71="","",IF(IFERROR(TRIM(INDEX($A71:$AB71,MATCH(Lists!$B$5,$A$1:$AB$1,0))&amp;""),"")&lt;&gt;"",IFERROR(TRIM(INDEX($A71:$AB71,MATCH(Lists!$B$6,$A$1:$AB$1,0))&amp;""),""),IFERROR(TRIM(INDEX($A71:$AB71,MATCH(Lists!$B$4,$A$1:$AB$1,0))&amp;""),"")))</f>
        <v/>
      </c>
      <c r="AU71" s="31">
        <f>IF(AR71="","",IFERROR(TRIM(INDEX($A71:$AB71,MATCH(Lists!$B$7,$A$1:$AB$1,0))&amp;""),""))</f>
        <v/>
      </c>
      <c r="AV71" s="31">
        <f>IF(AR71="","",IFERROR(TRIM(INDEX($A71:$AB71,MATCH(Lists!$B$9,$A$1:$AB$1,0))&amp;""),""))</f>
        <v/>
      </c>
      <c r="AW71" s="31">
        <f>IF(AR71="","",IFERROR(TRIM(INDEX($A71:$AB71,MATCH(Lists!$B$8,$A$1:$AB$1,0))&amp;""),""))</f>
        <v/>
      </c>
      <c r="AX71" s="23">
        <f>IF(AR71="","",IF(OR(TRIM(AE71&amp;"")&lt;&gt;"",AND(Skills!$B$5&lt;&gt;"",ISNUMBER(SEARCH(Skills!$B$5,AU71)))),1,0))</f>
        <v/>
      </c>
      <c r="AY71" s="23">
        <f>IF(AR71="","",IF(OR(TRIM(AF71&amp;"")&lt;&gt;"",AND(Skills!$B$6&lt;&gt;"",ISNUMBER(SEARCH(Skills!$B$6,AU71)))),1,0))</f>
        <v/>
      </c>
      <c r="AZ71" s="23">
        <f>IF(AR71="","",IF(OR(TRIM(AG71&amp;"")&lt;&gt;"",AND(Skills!$B$7&lt;&gt;"",ISNUMBER(SEARCH(Skills!$B$7,AU71)))),1,0))</f>
        <v/>
      </c>
      <c r="BA71" s="23">
        <f>IF(AR71="","",IF(OR(TRIM(AH71&amp;"")&lt;&gt;"",AND(Skills!$B$8&lt;&gt;"",ISNUMBER(SEARCH(Skills!$B$8,AU71)))),1,0))</f>
        <v/>
      </c>
      <c r="BB71" s="23">
        <f>IF(AR71="","",IF(OR(TRIM(AI71&amp;"")&lt;&gt;"",AND(Skills!$B$9&lt;&gt;"",ISNUMBER(SEARCH(Skills!$B$9,AU71)))),1,0))</f>
        <v/>
      </c>
      <c r="BC71" s="23">
        <f>IF(AR71="","",IF(OR(TRIM(AJ71&amp;"")&lt;&gt;"",AND(Skills!$B$10&lt;&gt;"",ISNUMBER(SEARCH(Skills!$B$10,AU71)))),1,0))</f>
        <v/>
      </c>
      <c r="BD71" s="23">
        <f>IF(AR71="","",IF(OR(TRIM(AK71&amp;"")&lt;&gt;"",AND(Skills!$B$11&lt;&gt;"",ISNUMBER(SEARCH(Skills!$B$11,AU71)))),1,0))</f>
        <v/>
      </c>
      <c r="BE71" s="23">
        <f>IF(AR71="","",IF(OR(TRIM(AL71&amp;"")&lt;&gt;"",AND(Skills!$B$12&lt;&gt;"",ISNUMBER(SEARCH(Skills!$B$12,AU71)))),1,0))</f>
        <v/>
      </c>
      <c r="BF71" s="23">
        <f>IF(AR71="","",IF(OR(TRIM(AM71&amp;"")&lt;&gt;"",AND(Skills!$B$13&lt;&gt;"",ISNUMBER(SEARCH(Skills!$B$13,AU71)))),1,0))</f>
        <v/>
      </c>
      <c r="BG71" s="23">
        <f>IF(AR71="","",IF(OR(TRIM(AN71&amp;"")&lt;&gt;"",AND(Skills!$B$14&lt;&gt;"",ISNUMBER(SEARCH(Skills!$B$14,AU71)))),1,0))</f>
        <v/>
      </c>
      <c r="BH71" s="23">
        <f>IF(AR71="","",IF(OR(TRIM(AO71&amp;"")&lt;&gt;"",AND(Skills!$B$15&lt;&gt;"",ISNUMBER(SEARCH(Skills!$B$15,AU71)))),1,0))</f>
        <v/>
      </c>
      <c r="BI71" s="23">
        <f>IF(AR71="","",IF(OR(TRIM(AP71&amp;"")&lt;&gt;"",AND(Skills!$B$16&lt;&gt;"",ISNUMBER(SEARCH(Skills!$B$16,AU71)))),1,0))</f>
        <v/>
      </c>
      <c r="BJ71" s="23">
        <f>IF(AR71="","",SUMPRODUCT($AX71:$BI71,Skills!$B$20:$M$20))</f>
        <v/>
      </c>
      <c r="BK71" s="23">
        <f>IF(AR71="","",BJ71*100000+(100000-ROW()))</f>
        <v/>
      </c>
      <c r="BL71" s="31">
        <f>IF(AR71="","",IF((IF(AND(AX71=1,Skills!$B$20=1),Skills!$B$5&amp;", ","")&amp;IF(AND(AY71=1,Skills!$C$20=1),Skills!$B$6&amp;", ","")&amp;IF(AND(AZ71=1,Skills!$D$20=1),Skills!$B$7&amp;", ","")&amp;IF(AND(BA71=1,Skills!$E$20=1),Skills!$B$8&amp;", ","")&amp;IF(AND(BB71=1,Skills!$F$20=1),Skills!$B$9&amp;", ","")&amp;IF(AND(BC71=1,Skills!$G$20=1),Skills!$B$10&amp;", ","")&amp;IF(AND(BD71=1,Skills!$H$20=1),Skills!$B$11&amp;", ","")&amp;IF(AND(BE71=1,Skills!$I$20=1),Skills!$B$12&amp;", ","")&amp;IF(AND(BF71=1,Skills!$J$20=1),Skills!$B$13&amp;", ","")&amp;IF(AND(BG71=1,Skills!$K$20=1),Skills!$B$14&amp;", ","")&amp;IF(AND(BH71=1,Skills!$L$20=1),Skills!$B$15&amp;", ","")&amp;IF(AND(BI71=1,Skills!$M$20=1),Skills!$B$16&amp;", ",""))="","",LEFT(IF(AND(AX71=1,Skills!$B$20=1),Skills!$B$5&amp;", ","")&amp;IF(AND(AY71=1,Skills!$C$20=1),Skills!$B$6&amp;", ","")&amp;IF(AND(AZ71=1,Skills!$D$20=1),Skills!$B$7&amp;", ","")&amp;IF(AND(BA71=1,Skills!$E$20=1),Skills!$B$8&amp;", ","")&amp;IF(AND(BB71=1,Skills!$F$20=1),Skills!$B$9&amp;", ","")&amp;IF(AND(BC71=1,Skills!$G$20=1),Skills!$B$10&amp;", ","")&amp;IF(AND(BD71=1,Skills!$H$20=1),Skills!$B$11&amp;", ","")&amp;IF(AND(BE71=1,Skills!$I$20=1),Skills!$B$12&amp;", ","")&amp;IF(AND(BF71=1,Skills!$J$20=1),Skills!$B$13&amp;", ","")&amp;IF(AND(BG71=1,Skills!$K$20=1),Skills!$B$14&amp;", ","")&amp;IF(AND(BH71=1,Skills!$L$20=1),Skills!$B$15&amp;", ","")&amp;IF(AND(BI71=1,Skills!$M$20=1),Skills!$B$16&amp;", ",""),LEN(IF(AND(AX71=1,Skills!$B$20=1),Skills!$B$5&amp;", ","")&amp;IF(AND(AY71=1,Skills!$C$20=1),Skills!$B$6&amp;", ","")&amp;IF(AND(AZ71=1,Skills!$D$20=1),Skills!$B$7&amp;", ","")&amp;IF(AND(BA71=1,Skills!$E$20=1),Skills!$B$8&amp;", ","")&amp;IF(AND(BB71=1,Skills!$F$20=1),Skills!$B$9&amp;", ","")&amp;IF(AND(BC71=1,Skills!$G$20=1),Skills!$B$10&amp;", ","")&amp;IF(AND(BD71=1,Skills!$H$20=1),Skills!$B$11&amp;", ","")&amp;IF(AND(BE71=1,Skills!$I$20=1),Skills!$B$12&amp;", ","")&amp;IF(AND(BF71=1,Skills!$J$20=1),Skills!$B$13&amp;", ","")&amp;IF(AND(BG71=1,Skills!$K$20=1),Skills!$B$14&amp;", ","")&amp;IF(AND(BH71=1,Skills!$L$20=1),Skills!$B$15&amp;", ","")&amp;IF(AND(BI71=1,Skills!$M$20=1),Skills!$B$16&amp;", ",""))-2)))</f>
        <v/>
      </c>
    </row>
    <row r="72">
      <c r="AD72" s="20" t="n"/>
      <c r="AE72" s="20" t="n"/>
      <c r="AF72" s="20" t="n"/>
      <c r="AG72" s="20" t="n"/>
      <c r="AH72" s="20" t="n"/>
      <c r="AI72" s="20" t="n"/>
      <c r="AJ72" s="20" t="n"/>
      <c r="AK72" s="20" t="n"/>
      <c r="AL72" s="20" t="n"/>
      <c r="AM72" s="20" t="n"/>
      <c r="AN72" s="20" t="n"/>
      <c r="AO72" s="20" t="n"/>
      <c r="AP72" s="20" t="n"/>
      <c r="AR72" s="31">
        <f>IF(IFERROR(TRIM(INDEX($A72:$AB72,MATCH(Lists!$B$5,$A$1:$AB$1,0))&amp;""),"")&lt;&gt;"",IFERROR(TRIM(INDEX($A72:$AB72,MATCH(Lists!$B$5,$A$1:$AB$1,0))&amp;""),""),IFERROR(TRIM(INDEX($A72:$AB72,MATCH(Lists!$B$3,$A$1:$AB$1,0))&amp;""),""))</f>
        <v/>
      </c>
      <c r="AS72" s="31">
        <f>IF(AR72="","",IF(IFERROR(TRIM(INDEX($A72:$AB72,MATCH(Lists!$B$5,$A$1:$AB$1,0))&amp;""),"")&lt;&gt;"","Nominated","Applied"))</f>
        <v/>
      </c>
      <c r="AT72" s="31">
        <f>IF(AR72="","",IF(IFERROR(TRIM(INDEX($A72:$AB72,MATCH(Lists!$B$5,$A$1:$AB$1,0))&amp;""),"")&lt;&gt;"",IFERROR(TRIM(INDEX($A72:$AB72,MATCH(Lists!$B$6,$A$1:$AB$1,0))&amp;""),""),IFERROR(TRIM(INDEX($A72:$AB72,MATCH(Lists!$B$4,$A$1:$AB$1,0))&amp;""),"")))</f>
        <v/>
      </c>
      <c r="AU72" s="31">
        <f>IF(AR72="","",IFERROR(TRIM(INDEX($A72:$AB72,MATCH(Lists!$B$7,$A$1:$AB$1,0))&amp;""),""))</f>
        <v/>
      </c>
      <c r="AV72" s="31">
        <f>IF(AR72="","",IFERROR(TRIM(INDEX($A72:$AB72,MATCH(Lists!$B$9,$A$1:$AB$1,0))&amp;""),""))</f>
        <v/>
      </c>
      <c r="AW72" s="31">
        <f>IF(AR72="","",IFERROR(TRIM(INDEX($A72:$AB72,MATCH(Lists!$B$8,$A$1:$AB$1,0))&amp;""),""))</f>
        <v/>
      </c>
      <c r="AX72" s="23">
        <f>IF(AR72="","",IF(OR(TRIM(AE72&amp;"")&lt;&gt;"",AND(Skills!$B$5&lt;&gt;"",ISNUMBER(SEARCH(Skills!$B$5,AU72)))),1,0))</f>
        <v/>
      </c>
      <c r="AY72" s="23">
        <f>IF(AR72="","",IF(OR(TRIM(AF72&amp;"")&lt;&gt;"",AND(Skills!$B$6&lt;&gt;"",ISNUMBER(SEARCH(Skills!$B$6,AU72)))),1,0))</f>
        <v/>
      </c>
      <c r="AZ72" s="23">
        <f>IF(AR72="","",IF(OR(TRIM(AG72&amp;"")&lt;&gt;"",AND(Skills!$B$7&lt;&gt;"",ISNUMBER(SEARCH(Skills!$B$7,AU72)))),1,0))</f>
        <v/>
      </c>
      <c r="BA72" s="23">
        <f>IF(AR72="","",IF(OR(TRIM(AH72&amp;"")&lt;&gt;"",AND(Skills!$B$8&lt;&gt;"",ISNUMBER(SEARCH(Skills!$B$8,AU72)))),1,0))</f>
        <v/>
      </c>
      <c r="BB72" s="23">
        <f>IF(AR72="","",IF(OR(TRIM(AI72&amp;"")&lt;&gt;"",AND(Skills!$B$9&lt;&gt;"",ISNUMBER(SEARCH(Skills!$B$9,AU72)))),1,0))</f>
        <v/>
      </c>
      <c r="BC72" s="23">
        <f>IF(AR72="","",IF(OR(TRIM(AJ72&amp;"")&lt;&gt;"",AND(Skills!$B$10&lt;&gt;"",ISNUMBER(SEARCH(Skills!$B$10,AU72)))),1,0))</f>
        <v/>
      </c>
      <c r="BD72" s="23">
        <f>IF(AR72="","",IF(OR(TRIM(AK72&amp;"")&lt;&gt;"",AND(Skills!$B$11&lt;&gt;"",ISNUMBER(SEARCH(Skills!$B$11,AU72)))),1,0))</f>
        <v/>
      </c>
      <c r="BE72" s="23">
        <f>IF(AR72="","",IF(OR(TRIM(AL72&amp;"")&lt;&gt;"",AND(Skills!$B$12&lt;&gt;"",ISNUMBER(SEARCH(Skills!$B$12,AU72)))),1,0))</f>
        <v/>
      </c>
      <c r="BF72" s="23">
        <f>IF(AR72="","",IF(OR(TRIM(AM72&amp;"")&lt;&gt;"",AND(Skills!$B$13&lt;&gt;"",ISNUMBER(SEARCH(Skills!$B$13,AU72)))),1,0))</f>
        <v/>
      </c>
      <c r="BG72" s="23">
        <f>IF(AR72="","",IF(OR(TRIM(AN72&amp;"")&lt;&gt;"",AND(Skills!$B$14&lt;&gt;"",ISNUMBER(SEARCH(Skills!$B$14,AU72)))),1,0))</f>
        <v/>
      </c>
      <c r="BH72" s="23">
        <f>IF(AR72="","",IF(OR(TRIM(AO72&amp;"")&lt;&gt;"",AND(Skills!$B$15&lt;&gt;"",ISNUMBER(SEARCH(Skills!$B$15,AU72)))),1,0))</f>
        <v/>
      </c>
      <c r="BI72" s="23">
        <f>IF(AR72="","",IF(OR(TRIM(AP72&amp;"")&lt;&gt;"",AND(Skills!$B$16&lt;&gt;"",ISNUMBER(SEARCH(Skills!$B$16,AU72)))),1,0))</f>
        <v/>
      </c>
      <c r="BJ72" s="23">
        <f>IF(AR72="","",SUMPRODUCT($AX72:$BI72,Skills!$B$20:$M$20))</f>
        <v/>
      </c>
      <c r="BK72" s="23">
        <f>IF(AR72="","",BJ72*100000+(100000-ROW()))</f>
        <v/>
      </c>
      <c r="BL72" s="31">
        <f>IF(AR72="","",IF((IF(AND(AX72=1,Skills!$B$20=1),Skills!$B$5&amp;", ","")&amp;IF(AND(AY72=1,Skills!$C$20=1),Skills!$B$6&amp;", ","")&amp;IF(AND(AZ72=1,Skills!$D$20=1),Skills!$B$7&amp;", ","")&amp;IF(AND(BA72=1,Skills!$E$20=1),Skills!$B$8&amp;", ","")&amp;IF(AND(BB72=1,Skills!$F$20=1),Skills!$B$9&amp;", ","")&amp;IF(AND(BC72=1,Skills!$G$20=1),Skills!$B$10&amp;", ","")&amp;IF(AND(BD72=1,Skills!$H$20=1),Skills!$B$11&amp;", ","")&amp;IF(AND(BE72=1,Skills!$I$20=1),Skills!$B$12&amp;", ","")&amp;IF(AND(BF72=1,Skills!$J$20=1),Skills!$B$13&amp;", ","")&amp;IF(AND(BG72=1,Skills!$K$20=1),Skills!$B$14&amp;", ","")&amp;IF(AND(BH72=1,Skills!$L$20=1),Skills!$B$15&amp;", ","")&amp;IF(AND(BI72=1,Skills!$M$20=1),Skills!$B$16&amp;", ",""))="","",LEFT(IF(AND(AX72=1,Skills!$B$20=1),Skills!$B$5&amp;", ","")&amp;IF(AND(AY72=1,Skills!$C$20=1),Skills!$B$6&amp;", ","")&amp;IF(AND(AZ72=1,Skills!$D$20=1),Skills!$B$7&amp;", ","")&amp;IF(AND(BA72=1,Skills!$E$20=1),Skills!$B$8&amp;", ","")&amp;IF(AND(BB72=1,Skills!$F$20=1),Skills!$B$9&amp;", ","")&amp;IF(AND(BC72=1,Skills!$G$20=1),Skills!$B$10&amp;", ","")&amp;IF(AND(BD72=1,Skills!$H$20=1),Skills!$B$11&amp;", ","")&amp;IF(AND(BE72=1,Skills!$I$20=1),Skills!$B$12&amp;", ","")&amp;IF(AND(BF72=1,Skills!$J$20=1),Skills!$B$13&amp;", ","")&amp;IF(AND(BG72=1,Skills!$K$20=1),Skills!$B$14&amp;", ","")&amp;IF(AND(BH72=1,Skills!$L$20=1),Skills!$B$15&amp;", ","")&amp;IF(AND(BI72=1,Skills!$M$20=1),Skills!$B$16&amp;", ",""),LEN(IF(AND(AX72=1,Skills!$B$20=1),Skills!$B$5&amp;", ","")&amp;IF(AND(AY72=1,Skills!$C$20=1),Skills!$B$6&amp;", ","")&amp;IF(AND(AZ72=1,Skills!$D$20=1),Skills!$B$7&amp;", ","")&amp;IF(AND(BA72=1,Skills!$E$20=1),Skills!$B$8&amp;", ","")&amp;IF(AND(BB72=1,Skills!$F$20=1),Skills!$B$9&amp;", ","")&amp;IF(AND(BC72=1,Skills!$G$20=1),Skills!$B$10&amp;", ","")&amp;IF(AND(BD72=1,Skills!$H$20=1),Skills!$B$11&amp;", ","")&amp;IF(AND(BE72=1,Skills!$I$20=1),Skills!$B$12&amp;", ","")&amp;IF(AND(BF72=1,Skills!$J$20=1),Skills!$B$13&amp;", ","")&amp;IF(AND(BG72=1,Skills!$K$20=1),Skills!$B$14&amp;", ","")&amp;IF(AND(BH72=1,Skills!$L$20=1),Skills!$B$15&amp;", ","")&amp;IF(AND(BI72=1,Skills!$M$20=1),Skills!$B$16&amp;", ",""))-2)))</f>
        <v/>
      </c>
    </row>
    <row r="73">
      <c r="AD73" s="20" t="n"/>
      <c r="AE73" s="20" t="n"/>
      <c r="AF73" s="20" t="n"/>
      <c r="AG73" s="20" t="n"/>
      <c r="AH73" s="20" t="n"/>
      <c r="AI73" s="20" t="n"/>
      <c r="AJ73" s="20" t="n"/>
      <c r="AK73" s="20" t="n"/>
      <c r="AL73" s="20" t="n"/>
      <c r="AM73" s="20" t="n"/>
      <c r="AN73" s="20" t="n"/>
      <c r="AO73" s="20" t="n"/>
      <c r="AP73" s="20" t="n"/>
      <c r="AR73" s="31">
        <f>IF(IFERROR(TRIM(INDEX($A73:$AB73,MATCH(Lists!$B$5,$A$1:$AB$1,0))&amp;""),"")&lt;&gt;"",IFERROR(TRIM(INDEX($A73:$AB73,MATCH(Lists!$B$5,$A$1:$AB$1,0))&amp;""),""),IFERROR(TRIM(INDEX($A73:$AB73,MATCH(Lists!$B$3,$A$1:$AB$1,0))&amp;""),""))</f>
        <v/>
      </c>
      <c r="AS73" s="31">
        <f>IF(AR73="","",IF(IFERROR(TRIM(INDEX($A73:$AB73,MATCH(Lists!$B$5,$A$1:$AB$1,0))&amp;""),"")&lt;&gt;"","Nominated","Applied"))</f>
        <v/>
      </c>
      <c r="AT73" s="31">
        <f>IF(AR73="","",IF(IFERROR(TRIM(INDEX($A73:$AB73,MATCH(Lists!$B$5,$A$1:$AB$1,0))&amp;""),"")&lt;&gt;"",IFERROR(TRIM(INDEX($A73:$AB73,MATCH(Lists!$B$6,$A$1:$AB$1,0))&amp;""),""),IFERROR(TRIM(INDEX($A73:$AB73,MATCH(Lists!$B$4,$A$1:$AB$1,0))&amp;""),"")))</f>
        <v/>
      </c>
      <c r="AU73" s="31">
        <f>IF(AR73="","",IFERROR(TRIM(INDEX($A73:$AB73,MATCH(Lists!$B$7,$A$1:$AB$1,0))&amp;""),""))</f>
        <v/>
      </c>
      <c r="AV73" s="31">
        <f>IF(AR73="","",IFERROR(TRIM(INDEX($A73:$AB73,MATCH(Lists!$B$9,$A$1:$AB$1,0))&amp;""),""))</f>
        <v/>
      </c>
      <c r="AW73" s="31">
        <f>IF(AR73="","",IFERROR(TRIM(INDEX($A73:$AB73,MATCH(Lists!$B$8,$A$1:$AB$1,0))&amp;""),""))</f>
        <v/>
      </c>
      <c r="AX73" s="23">
        <f>IF(AR73="","",IF(OR(TRIM(AE73&amp;"")&lt;&gt;"",AND(Skills!$B$5&lt;&gt;"",ISNUMBER(SEARCH(Skills!$B$5,AU73)))),1,0))</f>
        <v/>
      </c>
      <c r="AY73" s="23">
        <f>IF(AR73="","",IF(OR(TRIM(AF73&amp;"")&lt;&gt;"",AND(Skills!$B$6&lt;&gt;"",ISNUMBER(SEARCH(Skills!$B$6,AU73)))),1,0))</f>
        <v/>
      </c>
      <c r="AZ73" s="23">
        <f>IF(AR73="","",IF(OR(TRIM(AG73&amp;"")&lt;&gt;"",AND(Skills!$B$7&lt;&gt;"",ISNUMBER(SEARCH(Skills!$B$7,AU73)))),1,0))</f>
        <v/>
      </c>
      <c r="BA73" s="23">
        <f>IF(AR73="","",IF(OR(TRIM(AH73&amp;"")&lt;&gt;"",AND(Skills!$B$8&lt;&gt;"",ISNUMBER(SEARCH(Skills!$B$8,AU73)))),1,0))</f>
        <v/>
      </c>
      <c r="BB73" s="23">
        <f>IF(AR73="","",IF(OR(TRIM(AI73&amp;"")&lt;&gt;"",AND(Skills!$B$9&lt;&gt;"",ISNUMBER(SEARCH(Skills!$B$9,AU73)))),1,0))</f>
        <v/>
      </c>
      <c r="BC73" s="23">
        <f>IF(AR73="","",IF(OR(TRIM(AJ73&amp;"")&lt;&gt;"",AND(Skills!$B$10&lt;&gt;"",ISNUMBER(SEARCH(Skills!$B$10,AU73)))),1,0))</f>
        <v/>
      </c>
      <c r="BD73" s="23">
        <f>IF(AR73="","",IF(OR(TRIM(AK73&amp;"")&lt;&gt;"",AND(Skills!$B$11&lt;&gt;"",ISNUMBER(SEARCH(Skills!$B$11,AU73)))),1,0))</f>
        <v/>
      </c>
      <c r="BE73" s="23">
        <f>IF(AR73="","",IF(OR(TRIM(AL73&amp;"")&lt;&gt;"",AND(Skills!$B$12&lt;&gt;"",ISNUMBER(SEARCH(Skills!$B$12,AU73)))),1,0))</f>
        <v/>
      </c>
      <c r="BF73" s="23">
        <f>IF(AR73="","",IF(OR(TRIM(AM73&amp;"")&lt;&gt;"",AND(Skills!$B$13&lt;&gt;"",ISNUMBER(SEARCH(Skills!$B$13,AU73)))),1,0))</f>
        <v/>
      </c>
      <c r="BG73" s="23">
        <f>IF(AR73="","",IF(OR(TRIM(AN73&amp;"")&lt;&gt;"",AND(Skills!$B$14&lt;&gt;"",ISNUMBER(SEARCH(Skills!$B$14,AU73)))),1,0))</f>
        <v/>
      </c>
      <c r="BH73" s="23">
        <f>IF(AR73="","",IF(OR(TRIM(AO73&amp;"")&lt;&gt;"",AND(Skills!$B$15&lt;&gt;"",ISNUMBER(SEARCH(Skills!$B$15,AU73)))),1,0))</f>
        <v/>
      </c>
      <c r="BI73" s="23">
        <f>IF(AR73="","",IF(OR(TRIM(AP73&amp;"")&lt;&gt;"",AND(Skills!$B$16&lt;&gt;"",ISNUMBER(SEARCH(Skills!$B$16,AU73)))),1,0))</f>
        <v/>
      </c>
      <c r="BJ73" s="23">
        <f>IF(AR73="","",SUMPRODUCT($AX73:$BI73,Skills!$B$20:$M$20))</f>
        <v/>
      </c>
      <c r="BK73" s="23">
        <f>IF(AR73="","",BJ73*100000+(100000-ROW()))</f>
        <v/>
      </c>
      <c r="BL73" s="31">
        <f>IF(AR73="","",IF((IF(AND(AX73=1,Skills!$B$20=1),Skills!$B$5&amp;", ","")&amp;IF(AND(AY73=1,Skills!$C$20=1),Skills!$B$6&amp;", ","")&amp;IF(AND(AZ73=1,Skills!$D$20=1),Skills!$B$7&amp;", ","")&amp;IF(AND(BA73=1,Skills!$E$20=1),Skills!$B$8&amp;", ","")&amp;IF(AND(BB73=1,Skills!$F$20=1),Skills!$B$9&amp;", ","")&amp;IF(AND(BC73=1,Skills!$G$20=1),Skills!$B$10&amp;", ","")&amp;IF(AND(BD73=1,Skills!$H$20=1),Skills!$B$11&amp;", ","")&amp;IF(AND(BE73=1,Skills!$I$20=1),Skills!$B$12&amp;", ","")&amp;IF(AND(BF73=1,Skills!$J$20=1),Skills!$B$13&amp;", ","")&amp;IF(AND(BG73=1,Skills!$K$20=1),Skills!$B$14&amp;", ","")&amp;IF(AND(BH73=1,Skills!$L$20=1),Skills!$B$15&amp;", ","")&amp;IF(AND(BI73=1,Skills!$M$20=1),Skills!$B$16&amp;", ",""))="","",LEFT(IF(AND(AX73=1,Skills!$B$20=1),Skills!$B$5&amp;", ","")&amp;IF(AND(AY73=1,Skills!$C$20=1),Skills!$B$6&amp;", ","")&amp;IF(AND(AZ73=1,Skills!$D$20=1),Skills!$B$7&amp;", ","")&amp;IF(AND(BA73=1,Skills!$E$20=1),Skills!$B$8&amp;", ","")&amp;IF(AND(BB73=1,Skills!$F$20=1),Skills!$B$9&amp;", ","")&amp;IF(AND(BC73=1,Skills!$G$20=1),Skills!$B$10&amp;", ","")&amp;IF(AND(BD73=1,Skills!$H$20=1),Skills!$B$11&amp;", ","")&amp;IF(AND(BE73=1,Skills!$I$20=1),Skills!$B$12&amp;", ","")&amp;IF(AND(BF73=1,Skills!$J$20=1),Skills!$B$13&amp;", ","")&amp;IF(AND(BG73=1,Skills!$K$20=1),Skills!$B$14&amp;", ","")&amp;IF(AND(BH73=1,Skills!$L$20=1),Skills!$B$15&amp;", ","")&amp;IF(AND(BI73=1,Skills!$M$20=1),Skills!$B$16&amp;", ",""),LEN(IF(AND(AX73=1,Skills!$B$20=1),Skills!$B$5&amp;", ","")&amp;IF(AND(AY73=1,Skills!$C$20=1),Skills!$B$6&amp;", ","")&amp;IF(AND(AZ73=1,Skills!$D$20=1),Skills!$B$7&amp;", ","")&amp;IF(AND(BA73=1,Skills!$E$20=1),Skills!$B$8&amp;", ","")&amp;IF(AND(BB73=1,Skills!$F$20=1),Skills!$B$9&amp;", ","")&amp;IF(AND(BC73=1,Skills!$G$20=1),Skills!$B$10&amp;", ","")&amp;IF(AND(BD73=1,Skills!$H$20=1),Skills!$B$11&amp;", ","")&amp;IF(AND(BE73=1,Skills!$I$20=1),Skills!$B$12&amp;", ","")&amp;IF(AND(BF73=1,Skills!$J$20=1),Skills!$B$13&amp;", ","")&amp;IF(AND(BG73=1,Skills!$K$20=1),Skills!$B$14&amp;", ","")&amp;IF(AND(BH73=1,Skills!$L$20=1),Skills!$B$15&amp;", ","")&amp;IF(AND(BI73=1,Skills!$M$20=1),Skills!$B$16&amp;", ",""))-2)))</f>
        <v/>
      </c>
    </row>
    <row r="74">
      <c r="AD74" s="20" t="n"/>
      <c r="AE74" s="20" t="n"/>
      <c r="AF74" s="20" t="n"/>
      <c r="AG74" s="20" t="n"/>
      <c r="AH74" s="20" t="n"/>
      <c r="AI74" s="20" t="n"/>
      <c r="AJ74" s="20" t="n"/>
      <c r="AK74" s="20" t="n"/>
      <c r="AL74" s="20" t="n"/>
      <c r="AM74" s="20" t="n"/>
      <c r="AN74" s="20" t="n"/>
      <c r="AO74" s="20" t="n"/>
      <c r="AP74" s="20" t="n"/>
      <c r="AR74" s="31">
        <f>IF(IFERROR(TRIM(INDEX($A74:$AB74,MATCH(Lists!$B$5,$A$1:$AB$1,0))&amp;""),"")&lt;&gt;"",IFERROR(TRIM(INDEX($A74:$AB74,MATCH(Lists!$B$5,$A$1:$AB$1,0))&amp;""),""),IFERROR(TRIM(INDEX($A74:$AB74,MATCH(Lists!$B$3,$A$1:$AB$1,0))&amp;""),""))</f>
        <v/>
      </c>
      <c r="AS74" s="31">
        <f>IF(AR74="","",IF(IFERROR(TRIM(INDEX($A74:$AB74,MATCH(Lists!$B$5,$A$1:$AB$1,0))&amp;""),"")&lt;&gt;"","Nominated","Applied"))</f>
        <v/>
      </c>
      <c r="AT74" s="31">
        <f>IF(AR74="","",IF(IFERROR(TRIM(INDEX($A74:$AB74,MATCH(Lists!$B$5,$A$1:$AB$1,0))&amp;""),"")&lt;&gt;"",IFERROR(TRIM(INDEX($A74:$AB74,MATCH(Lists!$B$6,$A$1:$AB$1,0))&amp;""),""),IFERROR(TRIM(INDEX($A74:$AB74,MATCH(Lists!$B$4,$A$1:$AB$1,0))&amp;""),"")))</f>
        <v/>
      </c>
      <c r="AU74" s="31">
        <f>IF(AR74="","",IFERROR(TRIM(INDEX($A74:$AB74,MATCH(Lists!$B$7,$A$1:$AB$1,0))&amp;""),""))</f>
        <v/>
      </c>
      <c r="AV74" s="31">
        <f>IF(AR74="","",IFERROR(TRIM(INDEX($A74:$AB74,MATCH(Lists!$B$9,$A$1:$AB$1,0))&amp;""),""))</f>
        <v/>
      </c>
      <c r="AW74" s="31">
        <f>IF(AR74="","",IFERROR(TRIM(INDEX($A74:$AB74,MATCH(Lists!$B$8,$A$1:$AB$1,0))&amp;""),""))</f>
        <v/>
      </c>
      <c r="AX74" s="23">
        <f>IF(AR74="","",IF(OR(TRIM(AE74&amp;"")&lt;&gt;"",AND(Skills!$B$5&lt;&gt;"",ISNUMBER(SEARCH(Skills!$B$5,AU74)))),1,0))</f>
        <v/>
      </c>
      <c r="AY74" s="23">
        <f>IF(AR74="","",IF(OR(TRIM(AF74&amp;"")&lt;&gt;"",AND(Skills!$B$6&lt;&gt;"",ISNUMBER(SEARCH(Skills!$B$6,AU74)))),1,0))</f>
        <v/>
      </c>
      <c r="AZ74" s="23">
        <f>IF(AR74="","",IF(OR(TRIM(AG74&amp;"")&lt;&gt;"",AND(Skills!$B$7&lt;&gt;"",ISNUMBER(SEARCH(Skills!$B$7,AU74)))),1,0))</f>
        <v/>
      </c>
      <c r="BA74" s="23">
        <f>IF(AR74="","",IF(OR(TRIM(AH74&amp;"")&lt;&gt;"",AND(Skills!$B$8&lt;&gt;"",ISNUMBER(SEARCH(Skills!$B$8,AU74)))),1,0))</f>
        <v/>
      </c>
      <c r="BB74" s="23">
        <f>IF(AR74="","",IF(OR(TRIM(AI74&amp;"")&lt;&gt;"",AND(Skills!$B$9&lt;&gt;"",ISNUMBER(SEARCH(Skills!$B$9,AU74)))),1,0))</f>
        <v/>
      </c>
      <c r="BC74" s="23">
        <f>IF(AR74="","",IF(OR(TRIM(AJ74&amp;"")&lt;&gt;"",AND(Skills!$B$10&lt;&gt;"",ISNUMBER(SEARCH(Skills!$B$10,AU74)))),1,0))</f>
        <v/>
      </c>
      <c r="BD74" s="23">
        <f>IF(AR74="","",IF(OR(TRIM(AK74&amp;"")&lt;&gt;"",AND(Skills!$B$11&lt;&gt;"",ISNUMBER(SEARCH(Skills!$B$11,AU74)))),1,0))</f>
        <v/>
      </c>
      <c r="BE74" s="23">
        <f>IF(AR74="","",IF(OR(TRIM(AL74&amp;"")&lt;&gt;"",AND(Skills!$B$12&lt;&gt;"",ISNUMBER(SEARCH(Skills!$B$12,AU74)))),1,0))</f>
        <v/>
      </c>
      <c r="BF74" s="23">
        <f>IF(AR74="","",IF(OR(TRIM(AM74&amp;"")&lt;&gt;"",AND(Skills!$B$13&lt;&gt;"",ISNUMBER(SEARCH(Skills!$B$13,AU74)))),1,0))</f>
        <v/>
      </c>
      <c r="BG74" s="23">
        <f>IF(AR74="","",IF(OR(TRIM(AN74&amp;"")&lt;&gt;"",AND(Skills!$B$14&lt;&gt;"",ISNUMBER(SEARCH(Skills!$B$14,AU74)))),1,0))</f>
        <v/>
      </c>
      <c r="BH74" s="23">
        <f>IF(AR74="","",IF(OR(TRIM(AO74&amp;"")&lt;&gt;"",AND(Skills!$B$15&lt;&gt;"",ISNUMBER(SEARCH(Skills!$B$15,AU74)))),1,0))</f>
        <v/>
      </c>
      <c r="BI74" s="23">
        <f>IF(AR74="","",IF(OR(TRIM(AP74&amp;"")&lt;&gt;"",AND(Skills!$B$16&lt;&gt;"",ISNUMBER(SEARCH(Skills!$B$16,AU74)))),1,0))</f>
        <v/>
      </c>
      <c r="BJ74" s="23">
        <f>IF(AR74="","",SUMPRODUCT($AX74:$BI74,Skills!$B$20:$M$20))</f>
        <v/>
      </c>
      <c r="BK74" s="23">
        <f>IF(AR74="","",BJ74*100000+(100000-ROW()))</f>
        <v/>
      </c>
      <c r="BL74" s="31">
        <f>IF(AR74="","",IF((IF(AND(AX74=1,Skills!$B$20=1),Skills!$B$5&amp;", ","")&amp;IF(AND(AY74=1,Skills!$C$20=1),Skills!$B$6&amp;", ","")&amp;IF(AND(AZ74=1,Skills!$D$20=1),Skills!$B$7&amp;", ","")&amp;IF(AND(BA74=1,Skills!$E$20=1),Skills!$B$8&amp;", ","")&amp;IF(AND(BB74=1,Skills!$F$20=1),Skills!$B$9&amp;", ","")&amp;IF(AND(BC74=1,Skills!$G$20=1),Skills!$B$10&amp;", ","")&amp;IF(AND(BD74=1,Skills!$H$20=1),Skills!$B$11&amp;", ","")&amp;IF(AND(BE74=1,Skills!$I$20=1),Skills!$B$12&amp;", ","")&amp;IF(AND(BF74=1,Skills!$J$20=1),Skills!$B$13&amp;", ","")&amp;IF(AND(BG74=1,Skills!$K$20=1),Skills!$B$14&amp;", ","")&amp;IF(AND(BH74=1,Skills!$L$20=1),Skills!$B$15&amp;", ","")&amp;IF(AND(BI74=1,Skills!$M$20=1),Skills!$B$16&amp;", ",""))="","",LEFT(IF(AND(AX74=1,Skills!$B$20=1),Skills!$B$5&amp;", ","")&amp;IF(AND(AY74=1,Skills!$C$20=1),Skills!$B$6&amp;", ","")&amp;IF(AND(AZ74=1,Skills!$D$20=1),Skills!$B$7&amp;", ","")&amp;IF(AND(BA74=1,Skills!$E$20=1),Skills!$B$8&amp;", ","")&amp;IF(AND(BB74=1,Skills!$F$20=1),Skills!$B$9&amp;", ","")&amp;IF(AND(BC74=1,Skills!$G$20=1),Skills!$B$10&amp;", ","")&amp;IF(AND(BD74=1,Skills!$H$20=1),Skills!$B$11&amp;", ","")&amp;IF(AND(BE74=1,Skills!$I$20=1),Skills!$B$12&amp;", ","")&amp;IF(AND(BF74=1,Skills!$J$20=1),Skills!$B$13&amp;", ","")&amp;IF(AND(BG74=1,Skills!$K$20=1),Skills!$B$14&amp;", ","")&amp;IF(AND(BH74=1,Skills!$L$20=1),Skills!$B$15&amp;", ","")&amp;IF(AND(BI74=1,Skills!$M$20=1),Skills!$B$16&amp;", ",""),LEN(IF(AND(AX74=1,Skills!$B$20=1),Skills!$B$5&amp;", ","")&amp;IF(AND(AY74=1,Skills!$C$20=1),Skills!$B$6&amp;", ","")&amp;IF(AND(AZ74=1,Skills!$D$20=1),Skills!$B$7&amp;", ","")&amp;IF(AND(BA74=1,Skills!$E$20=1),Skills!$B$8&amp;", ","")&amp;IF(AND(BB74=1,Skills!$F$20=1),Skills!$B$9&amp;", ","")&amp;IF(AND(BC74=1,Skills!$G$20=1),Skills!$B$10&amp;", ","")&amp;IF(AND(BD74=1,Skills!$H$20=1),Skills!$B$11&amp;", ","")&amp;IF(AND(BE74=1,Skills!$I$20=1),Skills!$B$12&amp;", ","")&amp;IF(AND(BF74=1,Skills!$J$20=1),Skills!$B$13&amp;", ","")&amp;IF(AND(BG74=1,Skills!$K$20=1),Skills!$B$14&amp;", ","")&amp;IF(AND(BH74=1,Skills!$L$20=1),Skills!$B$15&amp;", ","")&amp;IF(AND(BI74=1,Skills!$M$20=1),Skills!$B$16&amp;", ",""))-2)))</f>
        <v/>
      </c>
    </row>
    <row r="75">
      <c r="AD75" s="20" t="n"/>
      <c r="AE75" s="20" t="n"/>
      <c r="AF75" s="20" t="n"/>
      <c r="AG75" s="20" t="n"/>
      <c r="AH75" s="20" t="n"/>
      <c r="AI75" s="20" t="n"/>
      <c r="AJ75" s="20" t="n"/>
      <c r="AK75" s="20" t="n"/>
      <c r="AL75" s="20" t="n"/>
      <c r="AM75" s="20" t="n"/>
      <c r="AN75" s="20" t="n"/>
      <c r="AO75" s="20" t="n"/>
      <c r="AP75" s="20" t="n"/>
      <c r="AR75" s="31">
        <f>IF(IFERROR(TRIM(INDEX($A75:$AB75,MATCH(Lists!$B$5,$A$1:$AB$1,0))&amp;""),"")&lt;&gt;"",IFERROR(TRIM(INDEX($A75:$AB75,MATCH(Lists!$B$5,$A$1:$AB$1,0))&amp;""),""),IFERROR(TRIM(INDEX($A75:$AB75,MATCH(Lists!$B$3,$A$1:$AB$1,0))&amp;""),""))</f>
        <v/>
      </c>
      <c r="AS75" s="31">
        <f>IF(AR75="","",IF(IFERROR(TRIM(INDEX($A75:$AB75,MATCH(Lists!$B$5,$A$1:$AB$1,0))&amp;""),"")&lt;&gt;"","Nominated","Applied"))</f>
        <v/>
      </c>
      <c r="AT75" s="31">
        <f>IF(AR75="","",IF(IFERROR(TRIM(INDEX($A75:$AB75,MATCH(Lists!$B$5,$A$1:$AB$1,0))&amp;""),"")&lt;&gt;"",IFERROR(TRIM(INDEX($A75:$AB75,MATCH(Lists!$B$6,$A$1:$AB$1,0))&amp;""),""),IFERROR(TRIM(INDEX($A75:$AB75,MATCH(Lists!$B$4,$A$1:$AB$1,0))&amp;""),"")))</f>
        <v/>
      </c>
      <c r="AU75" s="31">
        <f>IF(AR75="","",IFERROR(TRIM(INDEX($A75:$AB75,MATCH(Lists!$B$7,$A$1:$AB$1,0))&amp;""),""))</f>
        <v/>
      </c>
      <c r="AV75" s="31">
        <f>IF(AR75="","",IFERROR(TRIM(INDEX($A75:$AB75,MATCH(Lists!$B$9,$A$1:$AB$1,0))&amp;""),""))</f>
        <v/>
      </c>
      <c r="AW75" s="31">
        <f>IF(AR75="","",IFERROR(TRIM(INDEX($A75:$AB75,MATCH(Lists!$B$8,$A$1:$AB$1,0))&amp;""),""))</f>
        <v/>
      </c>
      <c r="AX75" s="23">
        <f>IF(AR75="","",IF(OR(TRIM(AE75&amp;"")&lt;&gt;"",AND(Skills!$B$5&lt;&gt;"",ISNUMBER(SEARCH(Skills!$B$5,AU75)))),1,0))</f>
        <v/>
      </c>
      <c r="AY75" s="23">
        <f>IF(AR75="","",IF(OR(TRIM(AF75&amp;"")&lt;&gt;"",AND(Skills!$B$6&lt;&gt;"",ISNUMBER(SEARCH(Skills!$B$6,AU75)))),1,0))</f>
        <v/>
      </c>
      <c r="AZ75" s="23">
        <f>IF(AR75="","",IF(OR(TRIM(AG75&amp;"")&lt;&gt;"",AND(Skills!$B$7&lt;&gt;"",ISNUMBER(SEARCH(Skills!$B$7,AU75)))),1,0))</f>
        <v/>
      </c>
      <c r="BA75" s="23">
        <f>IF(AR75="","",IF(OR(TRIM(AH75&amp;"")&lt;&gt;"",AND(Skills!$B$8&lt;&gt;"",ISNUMBER(SEARCH(Skills!$B$8,AU75)))),1,0))</f>
        <v/>
      </c>
      <c r="BB75" s="23">
        <f>IF(AR75="","",IF(OR(TRIM(AI75&amp;"")&lt;&gt;"",AND(Skills!$B$9&lt;&gt;"",ISNUMBER(SEARCH(Skills!$B$9,AU75)))),1,0))</f>
        <v/>
      </c>
      <c r="BC75" s="23">
        <f>IF(AR75="","",IF(OR(TRIM(AJ75&amp;"")&lt;&gt;"",AND(Skills!$B$10&lt;&gt;"",ISNUMBER(SEARCH(Skills!$B$10,AU75)))),1,0))</f>
        <v/>
      </c>
      <c r="BD75" s="23">
        <f>IF(AR75="","",IF(OR(TRIM(AK75&amp;"")&lt;&gt;"",AND(Skills!$B$11&lt;&gt;"",ISNUMBER(SEARCH(Skills!$B$11,AU75)))),1,0))</f>
        <v/>
      </c>
      <c r="BE75" s="23">
        <f>IF(AR75="","",IF(OR(TRIM(AL75&amp;"")&lt;&gt;"",AND(Skills!$B$12&lt;&gt;"",ISNUMBER(SEARCH(Skills!$B$12,AU75)))),1,0))</f>
        <v/>
      </c>
      <c r="BF75" s="23">
        <f>IF(AR75="","",IF(OR(TRIM(AM75&amp;"")&lt;&gt;"",AND(Skills!$B$13&lt;&gt;"",ISNUMBER(SEARCH(Skills!$B$13,AU75)))),1,0))</f>
        <v/>
      </c>
      <c r="BG75" s="23">
        <f>IF(AR75="","",IF(OR(TRIM(AN75&amp;"")&lt;&gt;"",AND(Skills!$B$14&lt;&gt;"",ISNUMBER(SEARCH(Skills!$B$14,AU75)))),1,0))</f>
        <v/>
      </c>
      <c r="BH75" s="23">
        <f>IF(AR75="","",IF(OR(TRIM(AO75&amp;"")&lt;&gt;"",AND(Skills!$B$15&lt;&gt;"",ISNUMBER(SEARCH(Skills!$B$15,AU75)))),1,0))</f>
        <v/>
      </c>
      <c r="BI75" s="23">
        <f>IF(AR75="","",IF(OR(TRIM(AP75&amp;"")&lt;&gt;"",AND(Skills!$B$16&lt;&gt;"",ISNUMBER(SEARCH(Skills!$B$16,AU75)))),1,0))</f>
        <v/>
      </c>
      <c r="BJ75" s="23">
        <f>IF(AR75="","",SUMPRODUCT($AX75:$BI75,Skills!$B$20:$M$20))</f>
        <v/>
      </c>
      <c r="BK75" s="23">
        <f>IF(AR75="","",BJ75*100000+(100000-ROW()))</f>
        <v/>
      </c>
      <c r="BL75" s="31">
        <f>IF(AR75="","",IF((IF(AND(AX75=1,Skills!$B$20=1),Skills!$B$5&amp;", ","")&amp;IF(AND(AY75=1,Skills!$C$20=1),Skills!$B$6&amp;", ","")&amp;IF(AND(AZ75=1,Skills!$D$20=1),Skills!$B$7&amp;", ","")&amp;IF(AND(BA75=1,Skills!$E$20=1),Skills!$B$8&amp;", ","")&amp;IF(AND(BB75=1,Skills!$F$20=1),Skills!$B$9&amp;", ","")&amp;IF(AND(BC75=1,Skills!$G$20=1),Skills!$B$10&amp;", ","")&amp;IF(AND(BD75=1,Skills!$H$20=1),Skills!$B$11&amp;", ","")&amp;IF(AND(BE75=1,Skills!$I$20=1),Skills!$B$12&amp;", ","")&amp;IF(AND(BF75=1,Skills!$J$20=1),Skills!$B$13&amp;", ","")&amp;IF(AND(BG75=1,Skills!$K$20=1),Skills!$B$14&amp;", ","")&amp;IF(AND(BH75=1,Skills!$L$20=1),Skills!$B$15&amp;", ","")&amp;IF(AND(BI75=1,Skills!$M$20=1),Skills!$B$16&amp;", ",""))="","",LEFT(IF(AND(AX75=1,Skills!$B$20=1),Skills!$B$5&amp;", ","")&amp;IF(AND(AY75=1,Skills!$C$20=1),Skills!$B$6&amp;", ","")&amp;IF(AND(AZ75=1,Skills!$D$20=1),Skills!$B$7&amp;", ","")&amp;IF(AND(BA75=1,Skills!$E$20=1),Skills!$B$8&amp;", ","")&amp;IF(AND(BB75=1,Skills!$F$20=1),Skills!$B$9&amp;", ","")&amp;IF(AND(BC75=1,Skills!$G$20=1),Skills!$B$10&amp;", ","")&amp;IF(AND(BD75=1,Skills!$H$20=1),Skills!$B$11&amp;", ","")&amp;IF(AND(BE75=1,Skills!$I$20=1),Skills!$B$12&amp;", ","")&amp;IF(AND(BF75=1,Skills!$J$20=1),Skills!$B$13&amp;", ","")&amp;IF(AND(BG75=1,Skills!$K$20=1),Skills!$B$14&amp;", ","")&amp;IF(AND(BH75=1,Skills!$L$20=1),Skills!$B$15&amp;", ","")&amp;IF(AND(BI75=1,Skills!$M$20=1),Skills!$B$16&amp;", ",""),LEN(IF(AND(AX75=1,Skills!$B$20=1),Skills!$B$5&amp;", ","")&amp;IF(AND(AY75=1,Skills!$C$20=1),Skills!$B$6&amp;", ","")&amp;IF(AND(AZ75=1,Skills!$D$20=1),Skills!$B$7&amp;", ","")&amp;IF(AND(BA75=1,Skills!$E$20=1),Skills!$B$8&amp;", ","")&amp;IF(AND(BB75=1,Skills!$F$20=1),Skills!$B$9&amp;", ","")&amp;IF(AND(BC75=1,Skills!$G$20=1),Skills!$B$10&amp;", ","")&amp;IF(AND(BD75=1,Skills!$H$20=1),Skills!$B$11&amp;", ","")&amp;IF(AND(BE75=1,Skills!$I$20=1),Skills!$B$12&amp;", ","")&amp;IF(AND(BF75=1,Skills!$J$20=1),Skills!$B$13&amp;", ","")&amp;IF(AND(BG75=1,Skills!$K$20=1),Skills!$B$14&amp;", ","")&amp;IF(AND(BH75=1,Skills!$L$20=1),Skills!$B$15&amp;", ","")&amp;IF(AND(BI75=1,Skills!$M$20=1),Skills!$B$16&amp;", ",""))-2)))</f>
        <v/>
      </c>
    </row>
    <row r="76">
      <c r="AD76" s="20" t="n"/>
      <c r="AE76" s="20" t="n"/>
      <c r="AF76" s="20" t="n"/>
      <c r="AG76" s="20" t="n"/>
      <c r="AH76" s="20" t="n"/>
      <c r="AI76" s="20" t="n"/>
      <c r="AJ76" s="20" t="n"/>
      <c r="AK76" s="20" t="n"/>
      <c r="AL76" s="20" t="n"/>
      <c r="AM76" s="20" t="n"/>
      <c r="AN76" s="20" t="n"/>
      <c r="AO76" s="20" t="n"/>
      <c r="AP76" s="20" t="n"/>
      <c r="AR76" s="31">
        <f>IF(IFERROR(TRIM(INDEX($A76:$AB76,MATCH(Lists!$B$5,$A$1:$AB$1,0))&amp;""),"")&lt;&gt;"",IFERROR(TRIM(INDEX($A76:$AB76,MATCH(Lists!$B$5,$A$1:$AB$1,0))&amp;""),""),IFERROR(TRIM(INDEX($A76:$AB76,MATCH(Lists!$B$3,$A$1:$AB$1,0))&amp;""),""))</f>
        <v/>
      </c>
      <c r="AS76" s="31">
        <f>IF(AR76="","",IF(IFERROR(TRIM(INDEX($A76:$AB76,MATCH(Lists!$B$5,$A$1:$AB$1,0))&amp;""),"")&lt;&gt;"","Nominated","Applied"))</f>
        <v/>
      </c>
      <c r="AT76" s="31">
        <f>IF(AR76="","",IF(IFERROR(TRIM(INDEX($A76:$AB76,MATCH(Lists!$B$5,$A$1:$AB$1,0))&amp;""),"")&lt;&gt;"",IFERROR(TRIM(INDEX($A76:$AB76,MATCH(Lists!$B$6,$A$1:$AB$1,0))&amp;""),""),IFERROR(TRIM(INDEX($A76:$AB76,MATCH(Lists!$B$4,$A$1:$AB$1,0))&amp;""),"")))</f>
        <v/>
      </c>
      <c r="AU76" s="31">
        <f>IF(AR76="","",IFERROR(TRIM(INDEX($A76:$AB76,MATCH(Lists!$B$7,$A$1:$AB$1,0))&amp;""),""))</f>
        <v/>
      </c>
      <c r="AV76" s="31">
        <f>IF(AR76="","",IFERROR(TRIM(INDEX($A76:$AB76,MATCH(Lists!$B$9,$A$1:$AB$1,0))&amp;""),""))</f>
        <v/>
      </c>
      <c r="AW76" s="31">
        <f>IF(AR76="","",IFERROR(TRIM(INDEX($A76:$AB76,MATCH(Lists!$B$8,$A$1:$AB$1,0))&amp;""),""))</f>
        <v/>
      </c>
      <c r="AX76" s="23">
        <f>IF(AR76="","",IF(OR(TRIM(AE76&amp;"")&lt;&gt;"",AND(Skills!$B$5&lt;&gt;"",ISNUMBER(SEARCH(Skills!$B$5,AU76)))),1,0))</f>
        <v/>
      </c>
      <c r="AY76" s="23">
        <f>IF(AR76="","",IF(OR(TRIM(AF76&amp;"")&lt;&gt;"",AND(Skills!$B$6&lt;&gt;"",ISNUMBER(SEARCH(Skills!$B$6,AU76)))),1,0))</f>
        <v/>
      </c>
      <c r="AZ76" s="23">
        <f>IF(AR76="","",IF(OR(TRIM(AG76&amp;"")&lt;&gt;"",AND(Skills!$B$7&lt;&gt;"",ISNUMBER(SEARCH(Skills!$B$7,AU76)))),1,0))</f>
        <v/>
      </c>
      <c r="BA76" s="23">
        <f>IF(AR76="","",IF(OR(TRIM(AH76&amp;"")&lt;&gt;"",AND(Skills!$B$8&lt;&gt;"",ISNUMBER(SEARCH(Skills!$B$8,AU76)))),1,0))</f>
        <v/>
      </c>
      <c r="BB76" s="23">
        <f>IF(AR76="","",IF(OR(TRIM(AI76&amp;"")&lt;&gt;"",AND(Skills!$B$9&lt;&gt;"",ISNUMBER(SEARCH(Skills!$B$9,AU76)))),1,0))</f>
        <v/>
      </c>
      <c r="BC76" s="23">
        <f>IF(AR76="","",IF(OR(TRIM(AJ76&amp;"")&lt;&gt;"",AND(Skills!$B$10&lt;&gt;"",ISNUMBER(SEARCH(Skills!$B$10,AU76)))),1,0))</f>
        <v/>
      </c>
      <c r="BD76" s="23">
        <f>IF(AR76="","",IF(OR(TRIM(AK76&amp;"")&lt;&gt;"",AND(Skills!$B$11&lt;&gt;"",ISNUMBER(SEARCH(Skills!$B$11,AU76)))),1,0))</f>
        <v/>
      </c>
      <c r="BE76" s="23">
        <f>IF(AR76="","",IF(OR(TRIM(AL76&amp;"")&lt;&gt;"",AND(Skills!$B$12&lt;&gt;"",ISNUMBER(SEARCH(Skills!$B$12,AU76)))),1,0))</f>
        <v/>
      </c>
      <c r="BF76" s="23">
        <f>IF(AR76="","",IF(OR(TRIM(AM76&amp;"")&lt;&gt;"",AND(Skills!$B$13&lt;&gt;"",ISNUMBER(SEARCH(Skills!$B$13,AU76)))),1,0))</f>
        <v/>
      </c>
      <c r="BG76" s="23">
        <f>IF(AR76="","",IF(OR(TRIM(AN76&amp;"")&lt;&gt;"",AND(Skills!$B$14&lt;&gt;"",ISNUMBER(SEARCH(Skills!$B$14,AU76)))),1,0))</f>
        <v/>
      </c>
      <c r="BH76" s="23">
        <f>IF(AR76="","",IF(OR(TRIM(AO76&amp;"")&lt;&gt;"",AND(Skills!$B$15&lt;&gt;"",ISNUMBER(SEARCH(Skills!$B$15,AU76)))),1,0))</f>
        <v/>
      </c>
      <c r="BI76" s="23">
        <f>IF(AR76="","",IF(OR(TRIM(AP76&amp;"")&lt;&gt;"",AND(Skills!$B$16&lt;&gt;"",ISNUMBER(SEARCH(Skills!$B$16,AU76)))),1,0))</f>
        <v/>
      </c>
      <c r="BJ76" s="23">
        <f>IF(AR76="","",SUMPRODUCT($AX76:$BI76,Skills!$B$20:$M$20))</f>
        <v/>
      </c>
      <c r="BK76" s="23">
        <f>IF(AR76="","",BJ76*100000+(100000-ROW()))</f>
        <v/>
      </c>
      <c r="BL76" s="31">
        <f>IF(AR76="","",IF((IF(AND(AX76=1,Skills!$B$20=1),Skills!$B$5&amp;", ","")&amp;IF(AND(AY76=1,Skills!$C$20=1),Skills!$B$6&amp;", ","")&amp;IF(AND(AZ76=1,Skills!$D$20=1),Skills!$B$7&amp;", ","")&amp;IF(AND(BA76=1,Skills!$E$20=1),Skills!$B$8&amp;", ","")&amp;IF(AND(BB76=1,Skills!$F$20=1),Skills!$B$9&amp;", ","")&amp;IF(AND(BC76=1,Skills!$G$20=1),Skills!$B$10&amp;", ","")&amp;IF(AND(BD76=1,Skills!$H$20=1),Skills!$B$11&amp;", ","")&amp;IF(AND(BE76=1,Skills!$I$20=1),Skills!$B$12&amp;", ","")&amp;IF(AND(BF76=1,Skills!$J$20=1),Skills!$B$13&amp;", ","")&amp;IF(AND(BG76=1,Skills!$K$20=1),Skills!$B$14&amp;", ","")&amp;IF(AND(BH76=1,Skills!$L$20=1),Skills!$B$15&amp;", ","")&amp;IF(AND(BI76=1,Skills!$M$20=1),Skills!$B$16&amp;", ",""))="","",LEFT(IF(AND(AX76=1,Skills!$B$20=1),Skills!$B$5&amp;", ","")&amp;IF(AND(AY76=1,Skills!$C$20=1),Skills!$B$6&amp;", ","")&amp;IF(AND(AZ76=1,Skills!$D$20=1),Skills!$B$7&amp;", ","")&amp;IF(AND(BA76=1,Skills!$E$20=1),Skills!$B$8&amp;", ","")&amp;IF(AND(BB76=1,Skills!$F$20=1),Skills!$B$9&amp;", ","")&amp;IF(AND(BC76=1,Skills!$G$20=1),Skills!$B$10&amp;", ","")&amp;IF(AND(BD76=1,Skills!$H$20=1),Skills!$B$11&amp;", ","")&amp;IF(AND(BE76=1,Skills!$I$20=1),Skills!$B$12&amp;", ","")&amp;IF(AND(BF76=1,Skills!$J$20=1),Skills!$B$13&amp;", ","")&amp;IF(AND(BG76=1,Skills!$K$20=1),Skills!$B$14&amp;", ","")&amp;IF(AND(BH76=1,Skills!$L$20=1),Skills!$B$15&amp;", ","")&amp;IF(AND(BI76=1,Skills!$M$20=1),Skills!$B$16&amp;", ",""),LEN(IF(AND(AX76=1,Skills!$B$20=1),Skills!$B$5&amp;", ","")&amp;IF(AND(AY76=1,Skills!$C$20=1),Skills!$B$6&amp;", ","")&amp;IF(AND(AZ76=1,Skills!$D$20=1),Skills!$B$7&amp;", ","")&amp;IF(AND(BA76=1,Skills!$E$20=1),Skills!$B$8&amp;", ","")&amp;IF(AND(BB76=1,Skills!$F$20=1),Skills!$B$9&amp;", ","")&amp;IF(AND(BC76=1,Skills!$G$20=1),Skills!$B$10&amp;", ","")&amp;IF(AND(BD76=1,Skills!$H$20=1),Skills!$B$11&amp;", ","")&amp;IF(AND(BE76=1,Skills!$I$20=1),Skills!$B$12&amp;", ","")&amp;IF(AND(BF76=1,Skills!$J$20=1),Skills!$B$13&amp;", ","")&amp;IF(AND(BG76=1,Skills!$K$20=1),Skills!$B$14&amp;", ","")&amp;IF(AND(BH76=1,Skills!$L$20=1),Skills!$B$15&amp;", ","")&amp;IF(AND(BI76=1,Skills!$M$20=1),Skills!$B$16&amp;", ",""))-2)))</f>
        <v/>
      </c>
    </row>
    <row r="77">
      <c r="AD77" s="20" t="n"/>
      <c r="AE77" s="20" t="n"/>
      <c r="AF77" s="20" t="n"/>
      <c r="AG77" s="20" t="n"/>
      <c r="AH77" s="20" t="n"/>
      <c r="AI77" s="20" t="n"/>
      <c r="AJ77" s="20" t="n"/>
      <c r="AK77" s="20" t="n"/>
      <c r="AL77" s="20" t="n"/>
      <c r="AM77" s="20" t="n"/>
      <c r="AN77" s="20" t="n"/>
      <c r="AO77" s="20" t="n"/>
      <c r="AP77" s="20" t="n"/>
      <c r="AR77" s="31">
        <f>IF(IFERROR(TRIM(INDEX($A77:$AB77,MATCH(Lists!$B$5,$A$1:$AB$1,0))&amp;""),"")&lt;&gt;"",IFERROR(TRIM(INDEX($A77:$AB77,MATCH(Lists!$B$5,$A$1:$AB$1,0))&amp;""),""),IFERROR(TRIM(INDEX($A77:$AB77,MATCH(Lists!$B$3,$A$1:$AB$1,0))&amp;""),""))</f>
        <v/>
      </c>
      <c r="AS77" s="31">
        <f>IF(AR77="","",IF(IFERROR(TRIM(INDEX($A77:$AB77,MATCH(Lists!$B$5,$A$1:$AB$1,0))&amp;""),"")&lt;&gt;"","Nominated","Applied"))</f>
        <v/>
      </c>
      <c r="AT77" s="31">
        <f>IF(AR77="","",IF(IFERROR(TRIM(INDEX($A77:$AB77,MATCH(Lists!$B$5,$A$1:$AB$1,0))&amp;""),"")&lt;&gt;"",IFERROR(TRIM(INDEX($A77:$AB77,MATCH(Lists!$B$6,$A$1:$AB$1,0))&amp;""),""),IFERROR(TRIM(INDEX($A77:$AB77,MATCH(Lists!$B$4,$A$1:$AB$1,0))&amp;""),"")))</f>
        <v/>
      </c>
      <c r="AU77" s="31">
        <f>IF(AR77="","",IFERROR(TRIM(INDEX($A77:$AB77,MATCH(Lists!$B$7,$A$1:$AB$1,0))&amp;""),""))</f>
        <v/>
      </c>
      <c r="AV77" s="31">
        <f>IF(AR77="","",IFERROR(TRIM(INDEX($A77:$AB77,MATCH(Lists!$B$9,$A$1:$AB$1,0))&amp;""),""))</f>
        <v/>
      </c>
      <c r="AW77" s="31">
        <f>IF(AR77="","",IFERROR(TRIM(INDEX($A77:$AB77,MATCH(Lists!$B$8,$A$1:$AB$1,0))&amp;""),""))</f>
        <v/>
      </c>
      <c r="AX77" s="23">
        <f>IF(AR77="","",IF(OR(TRIM(AE77&amp;"")&lt;&gt;"",AND(Skills!$B$5&lt;&gt;"",ISNUMBER(SEARCH(Skills!$B$5,AU77)))),1,0))</f>
        <v/>
      </c>
      <c r="AY77" s="23">
        <f>IF(AR77="","",IF(OR(TRIM(AF77&amp;"")&lt;&gt;"",AND(Skills!$B$6&lt;&gt;"",ISNUMBER(SEARCH(Skills!$B$6,AU77)))),1,0))</f>
        <v/>
      </c>
      <c r="AZ77" s="23">
        <f>IF(AR77="","",IF(OR(TRIM(AG77&amp;"")&lt;&gt;"",AND(Skills!$B$7&lt;&gt;"",ISNUMBER(SEARCH(Skills!$B$7,AU77)))),1,0))</f>
        <v/>
      </c>
      <c r="BA77" s="23">
        <f>IF(AR77="","",IF(OR(TRIM(AH77&amp;"")&lt;&gt;"",AND(Skills!$B$8&lt;&gt;"",ISNUMBER(SEARCH(Skills!$B$8,AU77)))),1,0))</f>
        <v/>
      </c>
      <c r="BB77" s="23">
        <f>IF(AR77="","",IF(OR(TRIM(AI77&amp;"")&lt;&gt;"",AND(Skills!$B$9&lt;&gt;"",ISNUMBER(SEARCH(Skills!$B$9,AU77)))),1,0))</f>
        <v/>
      </c>
      <c r="BC77" s="23">
        <f>IF(AR77="","",IF(OR(TRIM(AJ77&amp;"")&lt;&gt;"",AND(Skills!$B$10&lt;&gt;"",ISNUMBER(SEARCH(Skills!$B$10,AU77)))),1,0))</f>
        <v/>
      </c>
      <c r="BD77" s="23">
        <f>IF(AR77="","",IF(OR(TRIM(AK77&amp;"")&lt;&gt;"",AND(Skills!$B$11&lt;&gt;"",ISNUMBER(SEARCH(Skills!$B$11,AU77)))),1,0))</f>
        <v/>
      </c>
      <c r="BE77" s="23">
        <f>IF(AR77="","",IF(OR(TRIM(AL77&amp;"")&lt;&gt;"",AND(Skills!$B$12&lt;&gt;"",ISNUMBER(SEARCH(Skills!$B$12,AU77)))),1,0))</f>
        <v/>
      </c>
      <c r="BF77" s="23">
        <f>IF(AR77="","",IF(OR(TRIM(AM77&amp;"")&lt;&gt;"",AND(Skills!$B$13&lt;&gt;"",ISNUMBER(SEARCH(Skills!$B$13,AU77)))),1,0))</f>
        <v/>
      </c>
      <c r="BG77" s="23">
        <f>IF(AR77="","",IF(OR(TRIM(AN77&amp;"")&lt;&gt;"",AND(Skills!$B$14&lt;&gt;"",ISNUMBER(SEARCH(Skills!$B$14,AU77)))),1,0))</f>
        <v/>
      </c>
      <c r="BH77" s="23">
        <f>IF(AR77="","",IF(OR(TRIM(AO77&amp;"")&lt;&gt;"",AND(Skills!$B$15&lt;&gt;"",ISNUMBER(SEARCH(Skills!$B$15,AU77)))),1,0))</f>
        <v/>
      </c>
      <c r="BI77" s="23">
        <f>IF(AR77="","",IF(OR(TRIM(AP77&amp;"")&lt;&gt;"",AND(Skills!$B$16&lt;&gt;"",ISNUMBER(SEARCH(Skills!$B$16,AU77)))),1,0))</f>
        <v/>
      </c>
      <c r="BJ77" s="23">
        <f>IF(AR77="","",SUMPRODUCT($AX77:$BI77,Skills!$B$20:$M$20))</f>
        <v/>
      </c>
      <c r="BK77" s="23">
        <f>IF(AR77="","",BJ77*100000+(100000-ROW()))</f>
        <v/>
      </c>
      <c r="BL77" s="31">
        <f>IF(AR77="","",IF((IF(AND(AX77=1,Skills!$B$20=1),Skills!$B$5&amp;", ","")&amp;IF(AND(AY77=1,Skills!$C$20=1),Skills!$B$6&amp;", ","")&amp;IF(AND(AZ77=1,Skills!$D$20=1),Skills!$B$7&amp;", ","")&amp;IF(AND(BA77=1,Skills!$E$20=1),Skills!$B$8&amp;", ","")&amp;IF(AND(BB77=1,Skills!$F$20=1),Skills!$B$9&amp;", ","")&amp;IF(AND(BC77=1,Skills!$G$20=1),Skills!$B$10&amp;", ","")&amp;IF(AND(BD77=1,Skills!$H$20=1),Skills!$B$11&amp;", ","")&amp;IF(AND(BE77=1,Skills!$I$20=1),Skills!$B$12&amp;", ","")&amp;IF(AND(BF77=1,Skills!$J$20=1),Skills!$B$13&amp;", ","")&amp;IF(AND(BG77=1,Skills!$K$20=1),Skills!$B$14&amp;", ","")&amp;IF(AND(BH77=1,Skills!$L$20=1),Skills!$B$15&amp;", ","")&amp;IF(AND(BI77=1,Skills!$M$20=1),Skills!$B$16&amp;", ",""))="","",LEFT(IF(AND(AX77=1,Skills!$B$20=1),Skills!$B$5&amp;", ","")&amp;IF(AND(AY77=1,Skills!$C$20=1),Skills!$B$6&amp;", ","")&amp;IF(AND(AZ77=1,Skills!$D$20=1),Skills!$B$7&amp;", ","")&amp;IF(AND(BA77=1,Skills!$E$20=1),Skills!$B$8&amp;", ","")&amp;IF(AND(BB77=1,Skills!$F$20=1),Skills!$B$9&amp;", ","")&amp;IF(AND(BC77=1,Skills!$G$20=1),Skills!$B$10&amp;", ","")&amp;IF(AND(BD77=1,Skills!$H$20=1),Skills!$B$11&amp;", ","")&amp;IF(AND(BE77=1,Skills!$I$20=1),Skills!$B$12&amp;", ","")&amp;IF(AND(BF77=1,Skills!$J$20=1),Skills!$B$13&amp;", ","")&amp;IF(AND(BG77=1,Skills!$K$20=1),Skills!$B$14&amp;", ","")&amp;IF(AND(BH77=1,Skills!$L$20=1),Skills!$B$15&amp;", ","")&amp;IF(AND(BI77=1,Skills!$M$20=1),Skills!$B$16&amp;", ",""),LEN(IF(AND(AX77=1,Skills!$B$20=1),Skills!$B$5&amp;", ","")&amp;IF(AND(AY77=1,Skills!$C$20=1),Skills!$B$6&amp;", ","")&amp;IF(AND(AZ77=1,Skills!$D$20=1),Skills!$B$7&amp;", ","")&amp;IF(AND(BA77=1,Skills!$E$20=1),Skills!$B$8&amp;", ","")&amp;IF(AND(BB77=1,Skills!$F$20=1),Skills!$B$9&amp;", ","")&amp;IF(AND(BC77=1,Skills!$G$20=1),Skills!$B$10&amp;", ","")&amp;IF(AND(BD77=1,Skills!$H$20=1),Skills!$B$11&amp;", ","")&amp;IF(AND(BE77=1,Skills!$I$20=1),Skills!$B$12&amp;", ","")&amp;IF(AND(BF77=1,Skills!$J$20=1),Skills!$B$13&amp;", ","")&amp;IF(AND(BG77=1,Skills!$K$20=1),Skills!$B$14&amp;", ","")&amp;IF(AND(BH77=1,Skills!$L$20=1),Skills!$B$15&amp;", ","")&amp;IF(AND(BI77=1,Skills!$M$20=1),Skills!$B$16&amp;", ",""))-2)))</f>
        <v/>
      </c>
    </row>
    <row r="78">
      <c r="AD78" s="20" t="n"/>
      <c r="AE78" s="20" t="n"/>
      <c r="AF78" s="20" t="n"/>
      <c r="AG78" s="20" t="n"/>
      <c r="AH78" s="20" t="n"/>
      <c r="AI78" s="20" t="n"/>
      <c r="AJ78" s="20" t="n"/>
      <c r="AK78" s="20" t="n"/>
      <c r="AL78" s="20" t="n"/>
      <c r="AM78" s="20" t="n"/>
      <c r="AN78" s="20" t="n"/>
      <c r="AO78" s="20" t="n"/>
      <c r="AP78" s="20" t="n"/>
      <c r="AR78" s="31">
        <f>IF(IFERROR(TRIM(INDEX($A78:$AB78,MATCH(Lists!$B$5,$A$1:$AB$1,0))&amp;""),"")&lt;&gt;"",IFERROR(TRIM(INDEX($A78:$AB78,MATCH(Lists!$B$5,$A$1:$AB$1,0))&amp;""),""),IFERROR(TRIM(INDEX($A78:$AB78,MATCH(Lists!$B$3,$A$1:$AB$1,0))&amp;""),""))</f>
        <v/>
      </c>
      <c r="AS78" s="31">
        <f>IF(AR78="","",IF(IFERROR(TRIM(INDEX($A78:$AB78,MATCH(Lists!$B$5,$A$1:$AB$1,0))&amp;""),"")&lt;&gt;"","Nominated","Applied"))</f>
        <v/>
      </c>
      <c r="AT78" s="31">
        <f>IF(AR78="","",IF(IFERROR(TRIM(INDEX($A78:$AB78,MATCH(Lists!$B$5,$A$1:$AB$1,0))&amp;""),"")&lt;&gt;"",IFERROR(TRIM(INDEX($A78:$AB78,MATCH(Lists!$B$6,$A$1:$AB$1,0))&amp;""),""),IFERROR(TRIM(INDEX($A78:$AB78,MATCH(Lists!$B$4,$A$1:$AB$1,0))&amp;""),"")))</f>
        <v/>
      </c>
      <c r="AU78" s="31">
        <f>IF(AR78="","",IFERROR(TRIM(INDEX($A78:$AB78,MATCH(Lists!$B$7,$A$1:$AB$1,0))&amp;""),""))</f>
        <v/>
      </c>
      <c r="AV78" s="31">
        <f>IF(AR78="","",IFERROR(TRIM(INDEX($A78:$AB78,MATCH(Lists!$B$9,$A$1:$AB$1,0))&amp;""),""))</f>
        <v/>
      </c>
      <c r="AW78" s="31">
        <f>IF(AR78="","",IFERROR(TRIM(INDEX($A78:$AB78,MATCH(Lists!$B$8,$A$1:$AB$1,0))&amp;""),""))</f>
        <v/>
      </c>
      <c r="AX78" s="23">
        <f>IF(AR78="","",IF(OR(TRIM(AE78&amp;"")&lt;&gt;"",AND(Skills!$B$5&lt;&gt;"",ISNUMBER(SEARCH(Skills!$B$5,AU78)))),1,0))</f>
        <v/>
      </c>
      <c r="AY78" s="23">
        <f>IF(AR78="","",IF(OR(TRIM(AF78&amp;"")&lt;&gt;"",AND(Skills!$B$6&lt;&gt;"",ISNUMBER(SEARCH(Skills!$B$6,AU78)))),1,0))</f>
        <v/>
      </c>
      <c r="AZ78" s="23">
        <f>IF(AR78="","",IF(OR(TRIM(AG78&amp;"")&lt;&gt;"",AND(Skills!$B$7&lt;&gt;"",ISNUMBER(SEARCH(Skills!$B$7,AU78)))),1,0))</f>
        <v/>
      </c>
      <c r="BA78" s="23">
        <f>IF(AR78="","",IF(OR(TRIM(AH78&amp;"")&lt;&gt;"",AND(Skills!$B$8&lt;&gt;"",ISNUMBER(SEARCH(Skills!$B$8,AU78)))),1,0))</f>
        <v/>
      </c>
      <c r="BB78" s="23">
        <f>IF(AR78="","",IF(OR(TRIM(AI78&amp;"")&lt;&gt;"",AND(Skills!$B$9&lt;&gt;"",ISNUMBER(SEARCH(Skills!$B$9,AU78)))),1,0))</f>
        <v/>
      </c>
      <c r="BC78" s="23">
        <f>IF(AR78="","",IF(OR(TRIM(AJ78&amp;"")&lt;&gt;"",AND(Skills!$B$10&lt;&gt;"",ISNUMBER(SEARCH(Skills!$B$10,AU78)))),1,0))</f>
        <v/>
      </c>
      <c r="BD78" s="23">
        <f>IF(AR78="","",IF(OR(TRIM(AK78&amp;"")&lt;&gt;"",AND(Skills!$B$11&lt;&gt;"",ISNUMBER(SEARCH(Skills!$B$11,AU78)))),1,0))</f>
        <v/>
      </c>
      <c r="BE78" s="23">
        <f>IF(AR78="","",IF(OR(TRIM(AL78&amp;"")&lt;&gt;"",AND(Skills!$B$12&lt;&gt;"",ISNUMBER(SEARCH(Skills!$B$12,AU78)))),1,0))</f>
        <v/>
      </c>
      <c r="BF78" s="23">
        <f>IF(AR78="","",IF(OR(TRIM(AM78&amp;"")&lt;&gt;"",AND(Skills!$B$13&lt;&gt;"",ISNUMBER(SEARCH(Skills!$B$13,AU78)))),1,0))</f>
        <v/>
      </c>
      <c r="BG78" s="23">
        <f>IF(AR78="","",IF(OR(TRIM(AN78&amp;"")&lt;&gt;"",AND(Skills!$B$14&lt;&gt;"",ISNUMBER(SEARCH(Skills!$B$14,AU78)))),1,0))</f>
        <v/>
      </c>
      <c r="BH78" s="23">
        <f>IF(AR78="","",IF(OR(TRIM(AO78&amp;"")&lt;&gt;"",AND(Skills!$B$15&lt;&gt;"",ISNUMBER(SEARCH(Skills!$B$15,AU78)))),1,0))</f>
        <v/>
      </c>
      <c r="BI78" s="23">
        <f>IF(AR78="","",IF(OR(TRIM(AP78&amp;"")&lt;&gt;"",AND(Skills!$B$16&lt;&gt;"",ISNUMBER(SEARCH(Skills!$B$16,AU78)))),1,0))</f>
        <v/>
      </c>
      <c r="BJ78" s="23">
        <f>IF(AR78="","",SUMPRODUCT($AX78:$BI78,Skills!$B$20:$M$20))</f>
        <v/>
      </c>
      <c r="BK78" s="23">
        <f>IF(AR78="","",BJ78*100000+(100000-ROW()))</f>
        <v/>
      </c>
      <c r="BL78" s="31">
        <f>IF(AR78="","",IF((IF(AND(AX78=1,Skills!$B$20=1),Skills!$B$5&amp;", ","")&amp;IF(AND(AY78=1,Skills!$C$20=1),Skills!$B$6&amp;", ","")&amp;IF(AND(AZ78=1,Skills!$D$20=1),Skills!$B$7&amp;", ","")&amp;IF(AND(BA78=1,Skills!$E$20=1),Skills!$B$8&amp;", ","")&amp;IF(AND(BB78=1,Skills!$F$20=1),Skills!$B$9&amp;", ","")&amp;IF(AND(BC78=1,Skills!$G$20=1),Skills!$B$10&amp;", ","")&amp;IF(AND(BD78=1,Skills!$H$20=1),Skills!$B$11&amp;", ","")&amp;IF(AND(BE78=1,Skills!$I$20=1),Skills!$B$12&amp;", ","")&amp;IF(AND(BF78=1,Skills!$J$20=1),Skills!$B$13&amp;", ","")&amp;IF(AND(BG78=1,Skills!$K$20=1),Skills!$B$14&amp;", ","")&amp;IF(AND(BH78=1,Skills!$L$20=1),Skills!$B$15&amp;", ","")&amp;IF(AND(BI78=1,Skills!$M$20=1),Skills!$B$16&amp;", ",""))="","",LEFT(IF(AND(AX78=1,Skills!$B$20=1),Skills!$B$5&amp;", ","")&amp;IF(AND(AY78=1,Skills!$C$20=1),Skills!$B$6&amp;", ","")&amp;IF(AND(AZ78=1,Skills!$D$20=1),Skills!$B$7&amp;", ","")&amp;IF(AND(BA78=1,Skills!$E$20=1),Skills!$B$8&amp;", ","")&amp;IF(AND(BB78=1,Skills!$F$20=1),Skills!$B$9&amp;", ","")&amp;IF(AND(BC78=1,Skills!$G$20=1),Skills!$B$10&amp;", ","")&amp;IF(AND(BD78=1,Skills!$H$20=1),Skills!$B$11&amp;", ","")&amp;IF(AND(BE78=1,Skills!$I$20=1),Skills!$B$12&amp;", ","")&amp;IF(AND(BF78=1,Skills!$J$20=1),Skills!$B$13&amp;", ","")&amp;IF(AND(BG78=1,Skills!$K$20=1),Skills!$B$14&amp;", ","")&amp;IF(AND(BH78=1,Skills!$L$20=1),Skills!$B$15&amp;", ","")&amp;IF(AND(BI78=1,Skills!$M$20=1),Skills!$B$16&amp;", ",""),LEN(IF(AND(AX78=1,Skills!$B$20=1),Skills!$B$5&amp;", ","")&amp;IF(AND(AY78=1,Skills!$C$20=1),Skills!$B$6&amp;", ","")&amp;IF(AND(AZ78=1,Skills!$D$20=1),Skills!$B$7&amp;", ","")&amp;IF(AND(BA78=1,Skills!$E$20=1),Skills!$B$8&amp;", ","")&amp;IF(AND(BB78=1,Skills!$F$20=1),Skills!$B$9&amp;", ","")&amp;IF(AND(BC78=1,Skills!$G$20=1),Skills!$B$10&amp;", ","")&amp;IF(AND(BD78=1,Skills!$H$20=1),Skills!$B$11&amp;", ","")&amp;IF(AND(BE78=1,Skills!$I$20=1),Skills!$B$12&amp;", ","")&amp;IF(AND(BF78=1,Skills!$J$20=1),Skills!$B$13&amp;", ","")&amp;IF(AND(BG78=1,Skills!$K$20=1),Skills!$B$14&amp;", ","")&amp;IF(AND(BH78=1,Skills!$L$20=1),Skills!$B$15&amp;", ","")&amp;IF(AND(BI78=1,Skills!$M$20=1),Skills!$B$16&amp;", ",""))-2)))</f>
        <v/>
      </c>
    </row>
    <row r="79">
      <c r="AD79" s="20" t="n"/>
      <c r="AE79" s="20" t="n"/>
      <c r="AF79" s="20" t="n"/>
      <c r="AG79" s="20" t="n"/>
      <c r="AH79" s="20" t="n"/>
      <c r="AI79" s="20" t="n"/>
      <c r="AJ79" s="20" t="n"/>
      <c r="AK79" s="20" t="n"/>
      <c r="AL79" s="20" t="n"/>
      <c r="AM79" s="20" t="n"/>
      <c r="AN79" s="20" t="n"/>
      <c r="AO79" s="20" t="n"/>
      <c r="AP79" s="20" t="n"/>
      <c r="AR79" s="31">
        <f>IF(IFERROR(TRIM(INDEX($A79:$AB79,MATCH(Lists!$B$5,$A$1:$AB$1,0))&amp;""),"")&lt;&gt;"",IFERROR(TRIM(INDEX($A79:$AB79,MATCH(Lists!$B$5,$A$1:$AB$1,0))&amp;""),""),IFERROR(TRIM(INDEX($A79:$AB79,MATCH(Lists!$B$3,$A$1:$AB$1,0))&amp;""),""))</f>
        <v/>
      </c>
      <c r="AS79" s="31">
        <f>IF(AR79="","",IF(IFERROR(TRIM(INDEX($A79:$AB79,MATCH(Lists!$B$5,$A$1:$AB$1,0))&amp;""),"")&lt;&gt;"","Nominated","Applied"))</f>
        <v/>
      </c>
      <c r="AT79" s="31">
        <f>IF(AR79="","",IF(IFERROR(TRIM(INDEX($A79:$AB79,MATCH(Lists!$B$5,$A$1:$AB$1,0))&amp;""),"")&lt;&gt;"",IFERROR(TRIM(INDEX($A79:$AB79,MATCH(Lists!$B$6,$A$1:$AB$1,0))&amp;""),""),IFERROR(TRIM(INDEX($A79:$AB79,MATCH(Lists!$B$4,$A$1:$AB$1,0))&amp;""),"")))</f>
        <v/>
      </c>
      <c r="AU79" s="31">
        <f>IF(AR79="","",IFERROR(TRIM(INDEX($A79:$AB79,MATCH(Lists!$B$7,$A$1:$AB$1,0))&amp;""),""))</f>
        <v/>
      </c>
      <c r="AV79" s="31">
        <f>IF(AR79="","",IFERROR(TRIM(INDEX($A79:$AB79,MATCH(Lists!$B$9,$A$1:$AB$1,0))&amp;""),""))</f>
        <v/>
      </c>
      <c r="AW79" s="31">
        <f>IF(AR79="","",IFERROR(TRIM(INDEX($A79:$AB79,MATCH(Lists!$B$8,$A$1:$AB$1,0))&amp;""),""))</f>
        <v/>
      </c>
      <c r="AX79" s="23">
        <f>IF(AR79="","",IF(OR(TRIM(AE79&amp;"")&lt;&gt;"",AND(Skills!$B$5&lt;&gt;"",ISNUMBER(SEARCH(Skills!$B$5,AU79)))),1,0))</f>
        <v/>
      </c>
      <c r="AY79" s="23">
        <f>IF(AR79="","",IF(OR(TRIM(AF79&amp;"")&lt;&gt;"",AND(Skills!$B$6&lt;&gt;"",ISNUMBER(SEARCH(Skills!$B$6,AU79)))),1,0))</f>
        <v/>
      </c>
      <c r="AZ79" s="23">
        <f>IF(AR79="","",IF(OR(TRIM(AG79&amp;"")&lt;&gt;"",AND(Skills!$B$7&lt;&gt;"",ISNUMBER(SEARCH(Skills!$B$7,AU79)))),1,0))</f>
        <v/>
      </c>
      <c r="BA79" s="23">
        <f>IF(AR79="","",IF(OR(TRIM(AH79&amp;"")&lt;&gt;"",AND(Skills!$B$8&lt;&gt;"",ISNUMBER(SEARCH(Skills!$B$8,AU79)))),1,0))</f>
        <v/>
      </c>
      <c r="BB79" s="23">
        <f>IF(AR79="","",IF(OR(TRIM(AI79&amp;"")&lt;&gt;"",AND(Skills!$B$9&lt;&gt;"",ISNUMBER(SEARCH(Skills!$B$9,AU79)))),1,0))</f>
        <v/>
      </c>
      <c r="BC79" s="23">
        <f>IF(AR79="","",IF(OR(TRIM(AJ79&amp;"")&lt;&gt;"",AND(Skills!$B$10&lt;&gt;"",ISNUMBER(SEARCH(Skills!$B$10,AU79)))),1,0))</f>
        <v/>
      </c>
      <c r="BD79" s="23">
        <f>IF(AR79="","",IF(OR(TRIM(AK79&amp;"")&lt;&gt;"",AND(Skills!$B$11&lt;&gt;"",ISNUMBER(SEARCH(Skills!$B$11,AU79)))),1,0))</f>
        <v/>
      </c>
      <c r="BE79" s="23">
        <f>IF(AR79="","",IF(OR(TRIM(AL79&amp;"")&lt;&gt;"",AND(Skills!$B$12&lt;&gt;"",ISNUMBER(SEARCH(Skills!$B$12,AU79)))),1,0))</f>
        <v/>
      </c>
      <c r="BF79" s="23">
        <f>IF(AR79="","",IF(OR(TRIM(AM79&amp;"")&lt;&gt;"",AND(Skills!$B$13&lt;&gt;"",ISNUMBER(SEARCH(Skills!$B$13,AU79)))),1,0))</f>
        <v/>
      </c>
      <c r="BG79" s="23">
        <f>IF(AR79="","",IF(OR(TRIM(AN79&amp;"")&lt;&gt;"",AND(Skills!$B$14&lt;&gt;"",ISNUMBER(SEARCH(Skills!$B$14,AU79)))),1,0))</f>
        <v/>
      </c>
      <c r="BH79" s="23">
        <f>IF(AR79="","",IF(OR(TRIM(AO79&amp;"")&lt;&gt;"",AND(Skills!$B$15&lt;&gt;"",ISNUMBER(SEARCH(Skills!$B$15,AU79)))),1,0))</f>
        <v/>
      </c>
      <c r="BI79" s="23">
        <f>IF(AR79="","",IF(OR(TRIM(AP79&amp;"")&lt;&gt;"",AND(Skills!$B$16&lt;&gt;"",ISNUMBER(SEARCH(Skills!$B$16,AU79)))),1,0))</f>
        <v/>
      </c>
      <c r="BJ79" s="23">
        <f>IF(AR79="","",SUMPRODUCT($AX79:$BI79,Skills!$B$20:$M$20))</f>
        <v/>
      </c>
      <c r="BK79" s="23">
        <f>IF(AR79="","",BJ79*100000+(100000-ROW()))</f>
        <v/>
      </c>
      <c r="BL79" s="31">
        <f>IF(AR79="","",IF((IF(AND(AX79=1,Skills!$B$20=1),Skills!$B$5&amp;", ","")&amp;IF(AND(AY79=1,Skills!$C$20=1),Skills!$B$6&amp;", ","")&amp;IF(AND(AZ79=1,Skills!$D$20=1),Skills!$B$7&amp;", ","")&amp;IF(AND(BA79=1,Skills!$E$20=1),Skills!$B$8&amp;", ","")&amp;IF(AND(BB79=1,Skills!$F$20=1),Skills!$B$9&amp;", ","")&amp;IF(AND(BC79=1,Skills!$G$20=1),Skills!$B$10&amp;", ","")&amp;IF(AND(BD79=1,Skills!$H$20=1),Skills!$B$11&amp;", ","")&amp;IF(AND(BE79=1,Skills!$I$20=1),Skills!$B$12&amp;", ","")&amp;IF(AND(BF79=1,Skills!$J$20=1),Skills!$B$13&amp;", ","")&amp;IF(AND(BG79=1,Skills!$K$20=1),Skills!$B$14&amp;", ","")&amp;IF(AND(BH79=1,Skills!$L$20=1),Skills!$B$15&amp;", ","")&amp;IF(AND(BI79=1,Skills!$M$20=1),Skills!$B$16&amp;", ",""))="","",LEFT(IF(AND(AX79=1,Skills!$B$20=1),Skills!$B$5&amp;", ","")&amp;IF(AND(AY79=1,Skills!$C$20=1),Skills!$B$6&amp;", ","")&amp;IF(AND(AZ79=1,Skills!$D$20=1),Skills!$B$7&amp;", ","")&amp;IF(AND(BA79=1,Skills!$E$20=1),Skills!$B$8&amp;", ","")&amp;IF(AND(BB79=1,Skills!$F$20=1),Skills!$B$9&amp;", ","")&amp;IF(AND(BC79=1,Skills!$G$20=1),Skills!$B$10&amp;", ","")&amp;IF(AND(BD79=1,Skills!$H$20=1),Skills!$B$11&amp;", ","")&amp;IF(AND(BE79=1,Skills!$I$20=1),Skills!$B$12&amp;", ","")&amp;IF(AND(BF79=1,Skills!$J$20=1),Skills!$B$13&amp;", ","")&amp;IF(AND(BG79=1,Skills!$K$20=1),Skills!$B$14&amp;", ","")&amp;IF(AND(BH79=1,Skills!$L$20=1),Skills!$B$15&amp;", ","")&amp;IF(AND(BI79=1,Skills!$M$20=1),Skills!$B$16&amp;", ",""),LEN(IF(AND(AX79=1,Skills!$B$20=1),Skills!$B$5&amp;", ","")&amp;IF(AND(AY79=1,Skills!$C$20=1),Skills!$B$6&amp;", ","")&amp;IF(AND(AZ79=1,Skills!$D$20=1),Skills!$B$7&amp;", ","")&amp;IF(AND(BA79=1,Skills!$E$20=1),Skills!$B$8&amp;", ","")&amp;IF(AND(BB79=1,Skills!$F$20=1),Skills!$B$9&amp;", ","")&amp;IF(AND(BC79=1,Skills!$G$20=1),Skills!$B$10&amp;", ","")&amp;IF(AND(BD79=1,Skills!$H$20=1),Skills!$B$11&amp;", ","")&amp;IF(AND(BE79=1,Skills!$I$20=1),Skills!$B$12&amp;", ","")&amp;IF(AND(BF79=1,Skills!$J$20=1),Skills!$B$13&amp;", ","")&amp;IF(AND(BG79=1,Skills!$K$20=1),Skills!$B$14&amp;", ","")&amp;IF(AND(BH79=1,Skills!$L$20=1),Skills!$B$15&amp;", ","")&amp;IF(AND(BI79=1,Skills!$M$20=1),Skills!$B$16&amp;", ",""))-2)))</f>
        <v/>
      </c>
    </row>
    <row r="80">
      <c r="AD80" s="20" t="n"/>
      <c r="AE80" s="20" t="n"/>
      <c r="AF80" s="20" t="n"/>
      <c r="AG80" s="20" t="n"/>
      <c r="AH80" s="20" t="n"/>
      <c r="AI80" s="20" t="n"/>
      <c r="AJ80" s="20" t="n"/>
      <c r="AK80" s="20" t="n"/>
      <c r="AL80" s="20" t="n"/>
      <c r="AM80" s="20" t="n"/>
      <c r="AN80" s="20" t="n"/>
      <c r="AO80" s="20" t="n"/>
      <c r="AP80" s="20" t="n"/>
      <c r="AR80" s="31">
        <f>IF(IFERROR(TRIM(INDEX($A80:$AB80,MATCH(Lists!$B$5,$A$1:$AB$1,0))&amp;""),"")&lt;&gt;"",IFERROR(TRIM(INDEX($A80:$AB80,MATCH(Lists!$B$5,$A$1:$AB$1,0))&amp;""),""),IFERROR(TRIM(INDEX($A80:$AB80,MATCH(Lists!$B$3,$A$1:$AB$1,0))&amp;""),""))</f>
        <v/>
      </c>
      <c r="AS80" s="31">
        <f>IF(AR80="","",IF(IFERROR(TRIM(INDEX($A80:$AB80,MATCH(Lists!$B$5,$A$1:$AB$1,0))&amp;""),"")&lt;&gt;"","Nominated","Applied"))</f>
        <v/>
      </c>
      <c r="AT80" s="31">
        <f>IF(AR80="","",IF(IFERROR(TRIM(INDEX($A80:$AB80,MATCH(Lists!$B$5,$A$1:$AB$1,0))&amp;""),"")&lt;&gt;"",IFERROR(TRIM(INDEX($A80:$AB80,MATCH(Lists!$B$6,$A$1:$AB$1,0))&amp;""),""),IFERROR(TRIM(INDEX($A80:$AB80,MATCH(Lists!$B$4,$A$1:$AB$1,0))&amp;""),"")))</f>
        <v/>
      </c>
      <c r="AU80" s="31">
        <f>IF(AR80="","",IFERROR(TRIM(INDEX($A80:$AB80,MATCH(Lists!$B$7,$A$1:$AB$1,0))&amp;""),""))</f>
        <v/>
      </c>
      <c r="AV80" s="31">
        <f>IF(AR80="","",IFERROR(TRIM(INDEX($A80:$AB80,MATCH(Lists!$B$9,$A$1:$AB$1,0))&amp;""),""))</f>
        <v/>
      </c>
      <c r="AW80" s="31">
        <f>IF(AR80="","",IFERROR(TRIM(INDEX($A80:$AB80,MATCH(Lists!$B$8,$A$1:$AB$1,0))&amp;""),""))</f>
        <v/>
      </c>
      <c r="AX80" s="23">
        <f>IF(AR80="","",IF(OR(TRIM(AE80&amp;"")&lt;&gt;"",AND(Skills!$B$5&lt;&gt;"",ISNUMBER(SEARCH(Skills!$B$5,AU80)))),1,0))</f>
        <v/>
      </c>
      <c r="AY80" s="23">
        <f>IF(AR80="","",IF(OR(TRIM(AF80&amp;"")&lt;&gt;"",AND(Skills!$B$6&lt;&gt;"",ISNUMBER(SEARCH(Skills!$B$6,AU80)))),1,0))</f>
        <v/>
      </c>
      <c r="AZ80" s="23">
        <f>IF(AR80="","",IF(OR(TRIM(AG80&amp;"")&lt;&gt;"",AND(Skills!$B$7&lt;&gt;"",ISNUMBER(SEARCH(Skills!$B$7,AU80)))),1,0))</f>
        <v/>
      </c>
      <c r="BA80" s="23">
        <f>IF(AR80="","",IF(OR(TRIM(AH80&amp;"")&lt;&gt;"",AND(Skills!$B$8&lt;&gt;"",ISNUMBER(SEARCH(Skills!$B$8,AU80)))),1,0))</f>
        <v/>
      </c>
      <c r="BB80" s="23">
        <f>IF(AR80="","",IF(OR(TRIM(AI80&amp;"")&lt;&gt;"",AND(Skills!$B$9&lt;&gt;"",ISNUMBER(SEARCH(Skills!$B$9,AU80)))),1,0))</f>
        <v/>
      </c>
      <c r="BC80" s="23">
        <f>IF(AR80="","",IF(OR(TRIM(AJ80&amp;"")&lt;&gt;"",AND(Skills!$B$10&lt;&gt;"",ISNUMBER(SEARCH(Skills!$B$10,AU80)))),1,0))</f>
        <v/>
      </c>
      <c r="BD80" s="23">
        <f>IF(AR80="","",IF(OR(TRIM(AK80&amp;"")&lt;&gt;"",AND(Skills!$B$11&lt;&gt;"",ISNUMBER(SEARCH(Skills!$B$11,AU80)))),1,0))</f>
        <v/>
      </c>
      <c r="BE80" s="23">
        <f>IF(AR80="","",IF(OR(TRIM(AL80&amp;"")&lt;&gt;"",AND(Skills!$B$12&lt;&gt;"",ISNUMBER(SEARCH(Skills!$B$12,AU80)))),1,0))</f>
        <v/>
      </c>
      <c r="BF80" s="23">
        <f>IF(AR80="","",IF(OR(TRIM(AM80&amp;"")&lt;&gt;"",AND(Skills!$B$13&lt;&gt;"",ISNUMBER(SEARCH(Skills!$B$13,AU80)))),1,0))</f>
        <v/>
      </c>
      <c r="BG80" s="23">
        <f>IF(AR80="","",IF(OR(TRIM(AN80&amp;"")&lt;&gt;"",AND(Skills!$B$14&lt;&gt;"",ISNUMBER(SEARCH(Skills!$B$14,AU80)))),1,0))</f>
        <v/>
      </c>
      <c r="BH80" s="23">
        <f>IF(AR80="","",IF(OR(TRIM(AO80&amp;"")&lt;&gt;"",AND(Skills!$B$15&lt;&gt;"",ISNUMBER(SEARCH(Skills!$B$15,AU80)))),1,0))</f>
        <v/>
      </c>
      <c r="BI80" s="23">
        <f>IF(AR80="","",IF(OR(TRIM(AP80&amp;"")&lt;&gt;"",AND(Skills!$B$16&lt;&gt;"",ISNUMBER(SEARCH(Skills!$B$16,AU80)))),1,0))</f>
        <v/>
      </c>
      <c r="BJ80" s="23">
        <f>IF(AR80="","",SUMPRODUCT($AX80:$BI80,Skills!$B$20:$M$20))</f>
        <v/>
      </c>
      <c r="BK80" s="23">
        <f>IF(AR80="","",BJ80*100000+(100000-ROW()))</f>
        <v/>
      </c>
      <c r="BL80" s="31">
        <f>IF(AR80="","",IF((IF(AND(AX80=1,Skills!$B$20=1),Skills!$B$5&amp;", ","")&amp;IF(AND(AY80=1,Skills!$C$20=1),Skills!$B$6&amp;", ","")&amp;IF(AND(AZ80=1,Skills!$D$20=1),Skills!$B$7&amp;", ","")&amp;IF(AND(BA80=1,Skills!$E$20=1),Skills!$B$8&amp;", ","")&amp;IF(AND(BB80=1,Skills!$F$20=1),Skills!$B$9&amp;", ","")&amp;IF(AND(BC80=1,Skills!$G$20=1),Skills!$B$10&amp;", ","")&amp;IF(AND(BD80=1,Skills!$H$20=1),Skills!$B$11&amp;", ","")&amp;IF(AND(BE80=1,Skills!$I$20=1),Skills!$B$12&amp;", ","")&amp;IF(AND(BF80=1,Skills!$J$20=1),Skills!$B$13&amp;", ","")&amp;IF(AND(BG80=1,Skills!$K$20=1),Skills!$B$14&amp;", ","")&amp;IF(AND(BH80=1,Skills!$L$20=1),Skills!$B$15&amp;", ","")&amp;IF(AND(BI80=1,Skills!$M$20=1),Skills!$B$16&amp;", ",""))="","",LEFT(IF(AND(AX80=1,Skills!$B$20=1),Skills!$B$5&amp;", ","")&amp;IF(AND(AY80=1,Skills!$C$20=1),Skills!$B$6&amp;", ","")&amp;IF(AND(AZ80=1,Skills!$D$20=1),Skills!$B$7&amp;", ","")&amp;IF(AND(BA80=1,Skills!$E$20=1),Skills!$B$8&amp;", ","")&amp;IF(AND(BB80=1,Skills!$F$20=1),Skills!$B$9&amp;", ","")&amp;IF(AND(BC80=1,Skills!$G$20=1),Skills!$B$10&amp;", ","")&amp;IF(AND(BD80=1,Skills!$H$20=1),Skills!$B$11&amp;", ","")&amp;IF(AND(BE80=1,Skills!$I$20=1),Skills!$B$12&amp;", ","")&amp;IF(AND(BF80=1,Skills!$J$20=1),Skills!$B$13&amp;", ","")&amp;IF(AND(BG80=1,Skills!$K$20=1),Skills!$B$14&amp;", ","")&amp;IF(AND(BH80=1,Skills!$L$20=1),Skills!$B$15&amp;", ","")&amp;IF(AND(BI80=1,Skills!$M$20=1),Skills!$B$16&amp;", ",""),LEN(IF(AND(AX80=1,Skills!$B$20=1),Skills!$B$5&amp;", ","")&amp;IF(AND(AY80=1,Skills!$C$20=1),Skills!$B$6&amp;", ","")&amp;IF(AND(AZ80=1,Skills!$D$20=1),Skills!$B$7&amp;", ","")&amp;IF(AND(BA80=1,Skills!$E$20=1),Skills!$B$8&amp;", ","")&amp;IF(AND(BB80=1,Skills!$F$20=1),Skills!$B$9&amp;", ","")&amp;IF(AND(BC80=1,Skills!$G$20=1),Skills!$B$10&amp;", ","")&amp;IF(AND(BD80=1,Skills!$H$20=1),Skills!$B$11&amp;", ","")&amp;IF(AND(BE80=1,Skills!$I$20=1),Skills!$B$12&amp;", ","")&amp;IF(AND(BF80=1,Skills!$J$20=1),Skills!$B$13&amp;", ","")&amp;IF(AND(BG80=1,Skills!$K$20=1),Skills!$B$14&amp;", ","")&amp;IF(AND(BH80=1,Skills!$L$20=1),Skills!$B$15&amp;", ","")&amp;IF(AND(BI80=1,Skills!$M$20=1),Skills!$B$16&amp;", ",""))-2)))</f>
        <v/>
      </c>
    </row>
    <row r="81">
      <c r="AD81" s="20" t="n"/>
      <c r="AE81" s="20" t="n"/>
      <c r="AF81" s="20" t="n"/>
      <c r="AG81" s="20" t="n"/>
      <c r="AH81" s="20" t="n"/>
      <c r="AI81" s="20" t="n"/>
      <c r="AJ81" s="20" t="n"/>
      <c r="AK81" s="20" t="n"/>
      <c r="AL81" s="20" t="n"/>
      <c r="AM81" s="20" t="n"/>
      <c r="AN81" s="20" t="n"/>
      <c r="AO81" s="20" t="n"/>
      <c r="AP81" s="20" t="n"/>
      <c r="AR81" s="31">
        <f>IF(IFERROR(TRIM(INDEX($A81:$AB81,MATCH(Lists!$B$5,$A$1:$AB$1,0))&amp;""),"")&lt;&gt;"",IFERROR(TRIM(INDEX($A81:$AB81,MATCH(Lists!$B$5,$A$1:$AB$1,0))&amp;""),""),IFERROR(TRIM(INDEX($A81:$AB81,MATCH(Lists!$B$3,$A$1:$AB$1,0))&amp;""),""))</f>
        <v/>
      </c>
      <c r="AS81" s="31">
        <f>IF(AR81="","",IF(IFERROR(TRIM(INDEX($A81:$AB81,MATCH(Lists!$B$5,$A$1:$AB$1,0))&amp;""),"")&lt;&gt;"","Nominated","Applied"))</f>
        <v/>
      </c>
      <c r="AT81" s="31">
        <f>IF(AR81="","",IF(IFERROR(TRIM(INDEX($A81:$AB81,MATCH(Lists!$B$5,$A$1:$AB$1,0))&amp;""),"")&lt;&gt;"",IFERROR(TRIM(INDEX($A81:$AB81,MATCH(Lists!$B$6,$A$1:$AB$1,0))&amp;""),""),IFERROR(TRIM(INDEX($A81:$AB81,MATCH(Lists!$B$4,$A$1:$AB$1,0))&amp;""),"")))</f>
        <v/>
      </c>
      <c r="AU81" s="31">
        <f>IF(AR81="","",IFERROR(TRIM(INDEX($A81:$AB81,MATCH(Lists!$B$7,$A$1:$AB$1,0))&amp;""),""))</f>
        <v/>
      </c>
      <c r="AV81" s="31">
        <f>IF(AR81="","",IFERROR(TRIM(INDEX($A81:$AB81,MATCH(Lists!$B$9,$A$1:$AB$1,0))&amp;""),""))</f>
        <v/>
      </c>
      <c r="AW81" s="31">
        <f>IF(AR81="","",IFERROR(TRIM(INDEX($A81:$AB81,MATCH(Lists!$B$8,$A$1:$AB$1,0))&amp;""),""))</f>
        <v/>
      </c>
      <c r="AX81" s="23">
        <f>IF(AR81="","",IF(OR(TRIM(AE81&amp;"")&lt;&gt;"",AND(Skills!$B$5&lt;&gt;"",ISNUMBER(SEARCH(Skills!$B$5,AU81)))),1,0))</f>
        <v/>
      </c>
      <c r="AY81" s="23">
        <f>IF(AR81="","",IF(OR(TRIM(AF81&amp;"")&lt;&gt;"",AND(Skills!$B$6&lt;&gt;"",ISNUMBER(SEARCH(Skills!$B$6,AU81)))),1,0))</f>
        <v/>
      </c>
      <c r="AZ81" s="23">
        <f>IF(AR81="","",IF(OR(TRIM(AG81&amp;"")&lt;&gt;"",AND(Skills!$B$7&lt;&gt;"",ISNUMBER(SEARCH(Skills!$B$7,AU81)))),1,0))</f>
        <v/>
      </c>
      <c r="BA81" s="23">
        <f>IF(AR81="","",IF(OR(TRIM(AH81&amp;"")&lt;&gt;"",AND(Skills!$B$8&lt;&gt;"",ISNUMBER(SEARCH(Skills!$B$8,AU81)))),1,0))</f>
        <v/>
      </c>
      <c r="BB81" s="23">
        <f>IF(AR81="","",IF(OR(TRIM(AI81&amp;"")&lt;&gt;"",AND(Skills!$B$9&lt;&gt;"",ISNUMBER(SEARCH(Skills!$B$9,AU81)))),1,0))</f>
        <v/>
      </c>
      <c r="BC81" s="23">
        <f>IF(AR81="","",IF(OR(TRIM(AJ81&amp;"")&lt;&gt;"",AND(Skills!$B$10&lt;&gt;"",ISNUMBER(SEARCH(Skills!$B$10,AU81)))),1,0))</f>
        <v/>
      </c>
      <c r="BD81" s="23">
        <f>IF(AR81="","",IF(OR(TRIM(AK81&amp;"")&lt;&gt;"",AND(Skills!$B$11&lt;&gt;"",ISNUMBER(SEARCH(Skills!$B$11,AU81)))),1,0))</f>
        <v/>
      </c>
      <c r="BE81" s="23">
        <f>IF(AR81="","",IF(OR(TRIM(AL81&amp;"")&lt;&gt;"",AND(Skills!$B$12&lt;&gt;"",ISNUMBER(SEARCH(Skills!$B$12,AU81)))),1,0))</f>
        <v/>
      </c>
      <c r="BF81" s="23">
        <f>IF(AR81="","",IF(OR(TRIM(AM81&amp;"")&lt;&gt;"",AND(Skills!$B$13&lt;&gt;"",ISNUMBER(SEARCH(Skills!$B$13,AU81)))),1,0))</f>
        <v/>
      </c>
      <c r="BG81" s="23">
        <f>IF(AR81="","",IF(OR(TRIM(AN81&amp;"")&lt;&gt;"",AND(Skills!$B$14&lt;&gt;"",ISNUMBER(SEARCH(Skills!$B$14,AU81)))),1,0))</f>
        <v/>
      </c>
      <c r="BH81" s="23">
        <f>IF(AR81="","",IF(OR(TRIM(AO81&amp;"")&lt;&gt;"",AND(Skills!$B$15&lt;&gt;"",ISNUMBER(SEARCH(Skills!$B$15,AU81)))),1,0))</f>
        <v/>
      </c>
      <c r="BI81" s="23">
        <f>IF(AR81="","",IF(OR(TRIM(AP81&amp;"")&lt;&gt;"",AND(Skills!$B$16&lt;&gt;"",ISNUMBER(SEARCH(Skills!$B$16,AU81)))),1,0))</f>
        <v/>
      </c>
      <c r="BJ81" s="23">
        <f>IF(AR81="","",SUMPRODUCT($AX81:$BI81,Skills!$B$20:$M$20))</f>
        <v/>
      </c>
      <c r="BK81" s="23">
        <f>IF(AR81="","",BJ81*100000+(100000-ROW()))</f>
        <v/>
      </c>
      <c r="BL81" s="31">
        <f>IF(AR81="","",IF((IF(AND(AX81=1,Skills!$B$20=1),Skills!$B$5&amp;", ","")&amp;IF(AND(AY81=1,Skills!$C$20=1),Skills!$B$6&amp;", ","")&amp;IF(AND(AZ81=1,Skills!$D$20=1),Skills!$B$7&amp;", ","")&amp;IF(AND(BA81=1,Skills!$E$20=1),Skills!$B$8&amp;", ","")&amp;IF(AND(BB81=1,Skills!$F$20=1),Skills!$B$9&amp;", ","")&amp;IF(AND(BC81=1,Skills!$G$20=1),Skills!$B$10&amp;", ","")&amp;IF(AND(BD81=1,Skills!$H$20=1),Skills!$B$11&amp;", ","")&amp;IF(AND(BE81=1,Skills!$I$20=1),Skills!$B$12&amp;", ","")&amp;IF(AND(BF81=1,Skills!$J$20=1),Skills!$B$13&amp;", ","")&amp;IF(AND(BG81=1,Skills!$K$20=1),Skills!$B$14&amp;", ","")&amp;IF(AND(BH81=1,Skills!$L$20=1),Skills!$B$15&amp;", ","")&amp;IF(AND(BI81=1,Skills!$M$20=1),Skills!$B$16&amp;", ",""))="","",LEFT(IF(AND(AX81=1,Skills!$B$20=1),Skills!$B$5&amp;", ","")&amp;IF(AND(AY81=1,Skills!$C$20=1),Skills!$B$6&amp;", ","")&amp;IF(AND(AZ81=1,Skills!$D$20=1),Skills!$B$7&amp;", ","")&amp;IF(AND(BA81=1,Skills!$E$20=1),Skills!$B$8&amp;", ","")&amp;IF(AND(BB81=1,Skills!$F$20=1),Skills!$B$9&amp;", ","")&amp;IF(AND(BC81=1,Skills!$G$20=1),Skills!$B$10&amp;", ","")&amp;IF(AND(BD81=1,Skills!$H$20=1),Skills!$B$11&amp;", ","")&amp;IF(AND(BE81=1,Skills!$I$20=1),Skills!$B$12&amp;", ","")&amp;IF(AND(BF81=1,Skills!$J$20=1),Skills!$B$13&amp;", ","")&amp;IF(AND(BG81=1,Skills!$K$20=1),Skills!$B$14&amp;", ","")&amp;IF(AND(BH81=1,Skills!$L$20=1),Skills!$B$15&amp;", ","")&amp;IF(AND(BI81=1,Skills!$M$20=1),Skills!$B$16&amp;", ",""),LEN(IF(AND(AX81=1,Skills!$B$20=1),Skills!$B$5&amp;", ","")&amp;IF(AND(AY81=1,Skills!$C$20=1),Skills!$B$6&amp;", ","")&amp;IF(AND(AZ81=1,Skills!$D$20=1),Skills!$B$7&amp;", ","")&amp;IF(AND(BA81=1,Skills!$E$20=1),Skills!$B$8&amp;", ","")&amp;IF(AND(BB81=1,Skills!$F$20=1),Skills!$B$9&amp;", ","")&amp;IF(AND(BC81=1,Skills!$G$20=1),Skills!$B$10&amp;", ","")&amp;IF(AND(BD81=1,Skills!$H$20=1),Skills!$B$11&amp;", ","")&amp;IF(AND(BE81=1,Skills!$I$20=1),Skills!$B$12&amp;", ","")&amp;IF(AND(BF81=1,Skills!$J$20=1),Skills!$B$13&amp;", ","")&amp;IF(AND(BG81=1,Skills!$K$20=1),Skills!$B$14&amp;", ","")&amp;IF(AND(BH81=1,Skills!$L$20=1),Skills!$B$15&amp;", ","")&amp;IF(AND(BI81=1,Skills!$M$20=1),Skills!$B$16&amp;", ",""))-2)))</f>
        <v/>
      </c>
    </row>
    <row r="82">
      <c r="AD82" s="20" t="n"/>
      <c r="AE82" s="20" t="n"/>
      <c r="AF82" s="20" t="n"/>
      <c r="AG82" s="20" t="n"/>
      <c r="AH82" s="20" t="n"/>
      <c r="AI82" s="20" t="n"/>
      <c r="AJ82" s="20" t="n"/>
      <c r="AK82" s="20" t="n"/>
      <c r="AL82" s="20" t="n"/>
      <c r="AM82" s="20" t="n"/>
      <c r="AN82" s="20" t="n"/>
      <c r="AO82" s="20" t="n"/>
      <c r="AP82" s="20" t="n"/>
      <c r="AR82" s="31">
        <f>IF(IFERROR(TRIM(INDEX($A82:$AB82,MATCH(Lists!$B$5,$A$1:$AB$1,0))&amp;""),"")&lt;&gt;"",IFERROR(TRIM(INDEX($A82:$AB82,MATCH(Lists!$B$5,$A$1:$AB$1,0))&amp;""),""),IFERROR(TRIM(INDEX($A82:$AB82,MATCH(Lists!$B$3,$A$1:$AB$1,0))&amp;""),""))</f>
        <v/>
      </c>
      <c r="AS82" s="31">
        <f>IF(AR82="","",IF(IFERROR(TRIM(INDEX($A82:$AB82,MATCH(Lists!$B$5,$A$1:$AB$1,0))&amp;""),"")&lt;&gt;"","Nominated","Applied"))</f>
        <v/>
      </c>
      <c r="AT82" s="31">
        <f>IF(AR82="","",IF(IFERROR(TRIM(INDEX($A82:$AB82,MATCH(Lists!$B$5,$A$1:$AB$1,0))&amp;""),"")&lt;&gt;"",IFERROR(TRIM(INDEX($A82:$AB82,MATCH(Lists!$B$6,$A$1:$AB$1,0))&amp;""),""),IFERROR(TRIM(INDEX($A82:$AB82,MATCH(Lists!$B$4,$A$1:$AB$1,0))&amp;""),"")))</f>
        <v/>
      </c>
      <c r="AU82" s="31">
        <f>IF(AR82="","",IFERROR(TRIM(INDEX($A82:$AB82,MATCH(Lists!$B$7,$A$1:$AB$1,0))&amp;""),""))</f>
        <v/>
      </c>
      <c r="AV82" s="31">
        <f>IF(AR82="","",IFERROR(TRIM(INDEX($A82:$AB82,MATCH(Lists!$B$9,$A$1:$AB$1,0))&amp;""),""))</f>
        <v/>
      </c>
      <c r="AW82" s="31">
        <f>IF(AR82="","",IFERROR(TRIM(INDEX($A82:$AB82,MATCH(Lists!$B$8,$A$1:$AB$1,0))&amp;""),""))</f>
        <v/>
      </c>
      <c r="AX82" s="23">
        <f>IF(AR82="","",IF(OR(TRIM(AE82&amp;"")&lt;&gt;"",AND(Skills!$B$5&lt;&gt;"",ISNUMBER(SEARCH(Skills!$B$5,AU82)))),1,0))</f>
        <v/>
      </c>
      <c r="AY82" s="23">
        <f>IF(AR82="","",IF(OR(TRIM(AF82&amp;"")&lt;&gt;"",AND(Skills!$B$6&lt;&gt;"",ISNUMBER(SEARCH(Skills!$B$6,AU82)))),1,0))</f>
        <v/>
      </c>
      <c r="AZ82" s="23">
        <f>IF(AR82="","",IF(OR(TRIM(AG82&amp;"")&lt;&gt;"",AND(Skills!$B$7&lt;&gt;"",ISNUMBER(SEARCH(Skills!$B$7,AU82)))),1,0))</f>
        <v/>
      </c>
      <c r="BA82" s="23">
        <f>IF(AR82="","",IF(OR(TRIM(AH82&amp;"")&lt;&gt;"",AND(Skills!$B$8&lt;&gt;"",ISNUMBER(SEARCH(Skills!$B$8,AU82)))),1,0))</f>
        <v/>
      </c>
      <c r="BB82" s="23">
        <f>IF(AR82="","",IF(OR(TRIM(AI82&amp;"")&lt;&gt;"",AND(Skills!$B$9&lt;&gt;"",ISNUMBER(SEARCH(Skills!$B$9,AU82)))),1,0))</f>
        <v/>
      </c>
      <c r="BC82" s="23">
        <f>IF(AR82="","",IF(OR(TRIM(AJ82&amp;"")&lt;&gt;"",AND(Skills!$B$10&lt;&gt;"",ISNUMBER(SEARCH(Skills!$B$10,AU82)))),1,0))</f>
        <v/>
      </c>
      <c r="BD82" s="23">
        <f>IF(AR82="","",IF(OR(TRIM(AK82&amp;"")&lt;&gt;"",AND(Skills!$B$11&lt;&gt;"",ISNUMBER(SEARCH(Skills!$B$11,AU82)))),1,0))</f>
        <v/>
      </c>
      <c r="BE82" s="23">
        <f>IF(AR82="","",IF(OR(TRIM(AL82&amp;"")&lt;&gt;"",AND(Skills!$B$12&lt;&gt;"",ISNUMBER(SEARCH(Skills!$B$12,AU82)))),1,0))</f>
        <v/>
      </c>
      <c r="BF82" s="23">
        <f>IF(AR82="","",IF(OR(TRIM(AM82&amp;"")&lt;&gt;"",AND(Skills!$B$13&lt;&gt;"",ISNUMBER(SEARCH(Skills!$B$13,AU82)))),1,0))</f>
        <v/>
      </c>
      <c r="BG82" s="23">
        <f>IF(AR82="","",IF(OR(TRIM(AN82&amp;"")&lt;&gt;"",AND(Skills!$B$14&lt;&gt;"",ISNUMBER(SEARCH(Skills!$B$14,AU82)))),1,0))</f>
        <v/>
      </c>
      <c r="BH82" s="23">
        <f>IF(AR82="","",IF(OR(TRIM(AO82&amp;"")&lt;&gt;"",AND(Skills!$B$15&lt;&gt;"",ISNUMBER(SEARCH(Skills!$B$15,AU82)))),1,0))</f>
        <v/>
      </c>
      <c r="BI82" s="23">
        <f>IF(AR82="","",IF(OR(TRIM(AP82&amp;"")&lt;&gt;"",AND(Skills!$B$16&lt;&gt;"",ISNUMBER(SEARCH(Skills!$B$16,AU82)))),1,0))</f>
        <v/>
      </c>
      <c r="BJ82" s="23">
        <f>IF(AR82="","",SUMPRODUCT($AX82:$BI82,Skills!$B$20:$M$20))</f>
        <v/>
      </c>
      <c r="BK82" s="23">
        <f>IF(AR82="","",BJ82*100000+(100000-ROW()))</f>
        <v/>
      </c>
      <c r="BL82" s="31">
        <f>IF(AR82="","",IF((IF(AND(AX82=1,Skills!$B$20=1),Skills!$B$5&amp;", ","")&amp;IF(AND(AY82=1,Skills!$C$20=1),Skills!$B$6&amp;", ","")&amp;IF(AND(AZ82=1,Skills!$D$20=1),Skills!$B$7&amp;", ","")&amp;IF(AND(BA82=1,Skills!$E$20=1),Skills!$B$8&amp;", ","")&amp;IF(AND(BB82=1,Skills!$F$20=1),Skills!$B$9&amp;", ","")&amp;IF(AND(BC82=1,Skills!$G$20=1),Skills!$B$10&amp;", ","")&amp;IF(AND(BD82=1,Skills!$H$20=1),Skills!$B$11&amp;", ","")&amp;IF(AND(BE82=1,Skills!$I$20=1),Skills!$B$12&amp;", ","")&amp;IF(AND(BF82=1,Skills!$J$20=1),Skills!$B$13&amp;", ","")&amp;IF(AND(BG82=1,Skills!$K$20=1),Skills!$B$14&amp;", ","")&amp;IF(AND(BH82=1,Skills!$L$20=1),Skills!$B$15&amp;", ","")&amp;IF(AND(BI82=1,Skills!$M$20=1),Skills!$B$16&amp;", ",""))="","",LEFT(IF(AND(AX82=1,Skills!$B$20=1),Skills!$B$5&amp;", ","")&amp;IF(AND(AY82=1,Skills!$C$20=1),Skills!$B$6&amp;", ","")&amp;IF(AND(AZ82=1,Skills!$D$20=1),Skills!$B$7&amp;", ","")&amp;IF(AND(BA82=1,Skills!$E$20=1),Skills!$B$8&amp;", ","")&amp;IF(AND(BB82=1,Skills!$F$20=1),Skills!$B$9&amp;", ","")&amp;IF(AND(BC82=1,Skills!$G$20=1),Skills!$B$10&amp;", ","")&amp;IF(AND(BD82=1,Skills!$H$20=1),Skills!$B$11&amp;", ","")&amp;IF(AND(BE82=1,Skills!$I$20=1),Skills!$B$12&amp;", ","")&amp;IF(AND(BF82=1,Skills!$J$20=1),Skills!$B$13&amp;", ","")&amp;IF(AND(BG82=1,Skills!$K$20=1),Skills!$B$14&amp;", ","")&amp;IF(AND(BH82=1,Skills!$L$20=1),Skills!$B$15&amp;", ","")&amp;IF(AND(BI82=1,Skills!$M$20=1),Skills!$B$16&amp;", ",""),LEN(IF(AND(AX82=1,Skills!$B$20=1),Skills!$B$5&amp;", ","")&amp;IF(AND(AY82=1,Skills!$C$20=1),Skills!$B$6&amp;", ","")&amp;IF(AND(AZ82=1,Skills!$D$20=1),Skills!$B$7&amp;", ","")&amp;IF(AND(BA82=1,Skills!$E$20=1),Skills!$B$8&amp;", ","")&amp;IF(AND(BB82=1,Skills!$F$20=1),Skills!$B$9&amp;", ","")&amp;IF(AND(BC82=1,Skills!$G$20=1),Skills!$B$10&amp;", ","")&amp;IF(AND(BD82=1,Skills!$H$20=1),Skills!$B$11&amp;", ","")&amp;IF(AND(BE82=1,Skills!$I$20=1),Skills!$B$12&amp;", ","")&amp;IF(AND(BF82=1,Skills!$J$20=1),Skills!$B$13&amp;", ","")&amp;IF(AND(BG82=1,Skills!$K$20=1),Skills!$B$14&amp;", ","")&amp;IF(AND(BH82=1,Skills!$L$20=1),Skills!$B$15&amp;", ","")&amp;IF(AND(BI82=1,Skills!$M$20=1),Skills!$B$16&amp;", ",""))-2)))</f>
        <v/>
      </c>
    </row>
    <row r="83">
      <c r="AD83" s="20" t="n"/>
      <c r="AE83" s="20" t="n"/>
      <c r="AF83" s="20" t="n"/>
      <c r="AG83" s="20" t="n"/>
      <c r="AH83" s="20" t="n"/>
      <c r="AI83" s="20" t="n"/>
      <c r="AJ83" s="20" t="n"/>
      <c r="AK83" s="20" t="n"/>
      <c r="AL83" s="20" t="n"/>
      <c r="AM83" s="20" t="n"/>
      <c r="AN83" s="20" t="n"/>
      <c r="AO83" s="20" t="n"/>
      <c r="AP83" s="20" t="n"/>
      <c r="AR83" s="31">
        <f>IF(IFERROR(TRIM(INDEX($A83:$AB83,MATCH(Lists!$B$5,$A$1:$AB$1,0))&amp;""),"")&lt;&gt;"",IFERROR(TRIM(INDEX($A83:$AB83,MATCH(Lists!$B$5,$A$1:$AB$1,0))&amp;""),""),IFERROR(TRIM(INDEX($A83:$AB83,MATCH(Lists!$B$3,$A$1:$AB$1,0))&amp;""),""))</f>
        <v/>
      </c>
      <c r="AS83" s="31">
        <f>IF(AR83="","",IF(IFERROR(TRIM(INDEX($A83:$AB83,MATCH(Lists!$B$5,$A$1:$AB$1,0))&amp;""),"")&lt;&gt;"","Nominated","Applied"))</f>
        <v/>
      </c>
      <c r="AT83" s="31">
        <f>IF(AR83="","",IF(IFERROR(TRIM(INDEX($A83:$AB83,MATCH(Lists!$B$5,$A$1:$AB$1,0))&amp;""),"")&lt;&gt;"",IFERROR(TRIM(INDEX($A83:$AB83,MATCH(Lists!$B$6,$A$1:$AB$1,0))&amp;""),""),IFERROR(TRIM(INDEX($A83:$AB83,MATCH(Lists!$B$4,$A$1:$AB$1,0))&amp;""),"")))</f>
        <v/>
      </c>
      <c r="AU83" s="31">
        <f>IF(AR83="","",IFERROR(TRIM(INDEX($A83:$AB83,MATCH(Lists!$B$7,$A$1:$AB$1,0))&amp;""),""))</f>
        <v/>
      </c>
      <c r="AV83" s="31">
        <f>IF(AR83="","",IFERROR(TRIM(INDEX($A83:$AB83,MATCH(Lists!$B$9,$A$1:$AB$1,0))&amp;""),""))</f>
        <v/>
      </c>
      <c r="AW83" s="31">
        <f>IF(AR83="","",IFERROR(TRIM(INDEX($A83:$AB83,MATCH(Lists!$B$8,$A$1:$AB$1,0))&amp;""),""))</f>
        <v/>
      </c>
      <c r="AX83" s="23">
        <f>IF(AR83="","",IF(OR(TRIM(AE83&amp;"")&lt;&gt;"",AND(Skills!$B$5&lt;&gt;"",ISNUMBER(SEARCH(Skills!$B$5,AU83)))),1,0))</f>
        <v/>
      </c>
      <c r="AY83" s="23">
        <f>IF(AR83="","",IF(OR(TRIM(AF83&amp;"")&lt;&gt;"",AND(Skills!$B$6&lt;&gt;"",ISNUMBER(SEARCH(Skills!$B$6,AU83)))),1,0))</f>
        <v/>
      </c>
      <c r="AZ83" s="23">
        <f>IF(AR83="","",IF(OR(TRIM(AG83&amp;"")&lt;&gt;"",AND(Skills!$B$7&lt;&gt;"",ISNUMBER(SEARCH(Skills!$B$7,AU83)))),1,0))</f>
        <v/>
      </c>
      <c r="BA83" s="23">
        <f>IF(AR83="","",IF(OR(TRIM(AH83&amp;"")&lt;&gt;"",AND(Skills!$B$8&lt;&gt;"",ISNUMBER(SEARCH(Skills!$B$8,AU83)))),1,0))</f>
        <v/>
      </c>
      <c r="BB83" s="23">
        <f>IF(AR83="","",IF(OR(TRIM(AI83&amp;"")&lt;&gt;"",AND(Skills!$B$9&lt;&gt;"",ISNUMBER(SEARCH(Skills!$B$9,AU83)))),1,0))</f>
        <v/>
      </c>
      <c r="BC83" s="23">
        <f>IF(AR83="","",IF(OR(TRIM(AJ83&amp;"")&lt;&gt;"",AND(Skills!$B$10&lt;&gt;"",ISNUMBER(SEARCH(Skills!$B$10,AU83)))),1,0))</f>
        <v/>
      </c>
      <c r="BD83" s="23">
        <f>IF(AR83="","",IF(OR(TRIM(AK83&amp;"")&lt;&gt;"",AND(Skills!$B$11&lt;&gt;"",ISNUMBER(SEARCH(Skills!$B$11,AU83)))),1,0))</f>
        <v/>
      </c>
      <c r="BE83" s="23">
        <f>IF(AR83="","",IF(OR(TRIM(AL83&amp;"")&lt;&gt;"",AND(Skills!$B$12&lt;&gt;"",ISNUMBER(SEARCH(Skills!$B$12,AU83)))),1,0))</f>
        <v/>
      </c>
      <c r="BF83" s="23">
        <f>IF(AR83="","",IF(OR(TRIM(AM83&amp;"")&lt;&gt;"",AND(Skills!$B$13&lt;&gt;"",ISNUMBER(SEARCH(Skills!$B$13,AU83)))),1,0))</f>
        <v/>
      </c>
      <c r="BG83" s="23">
        <f>IF(AR83="","",IF(OR(TRIM(AN83&amp;"")&lt;&gt;"",AND(Skills!$B$14&lt;&gt;"",ISNUMBER(SEARCH(Skills!$B$14,AU83)))),1,0))</f>
        <v/>
      </c>
      <c r="BH83" s="23">
        <f>IF(AR83="","",IF(OR(TRIM(AO83&amp;"")&lt;&gt;"",AND(Skills!$B$15&lt;&gt;"",ISNUMBER(SEARCH(Skills!$B$15,AU83)))),1,0))</f>
        <v/>
      </c>
      <c r="BI83" s="23">
        <f>IF(AR83="","",IF(OR(TRIM(AP83&amp;"")&lt;&gt;"",AND(Skills!$B$16&lt;&gt;"",ISNUMBER(SEARCH(Skills!$B$16,AU83)))),1,0))</f>
        <v/>
      </c>
      <c r="BJ83" s="23">
        <f>IF(AR83="","",SUMPRODUCT($AX83:$BI83,Skills!$B$20:$M$20))</f>
        <v/>
      </c>
      <c r="BK83" s="23">
        <f>IF(AR83="","",BJ83*100000+(100000-ROW()))</f>
        <v/>
      </c>
      <c r="BL83" s="31">
        <f>IF(AR83="","",IF((IF(AND(AX83=1,Skills!$B$20=1),Skills!$B$5&amp;", ","")&amp;IF(AND(AY83=1,Skills!$C$20=1),Skills!$B$6&amp;", ","")&amp;IF(AND(AZ83=1,Skills!$D$20=1),Skills!$B$7&amp;", ","")&amp;IF(AND(BA83=1,Skills!$E$20=1),Skills!$B$8&amp;", ","")&amp;IF(AND(BB83=1,Skills!$F$20=1),Skills!$B$9&amp;", ","")&amp;IF(AND(BC83=1,Skills!$G$20=1),Skills!$B$10&amp;", ","")&amp;IF(AND(BD83=1,Skills!$H$20=1),Skills!$B$11&amp;", ","")&amp;IF(AND(BE83=1,Skills!$I$20=1),Skills!$B$12&amp;", ","")&amp;IF(AND(BF83=1,Skills!$J$20=1),Skills!$B$13&amp;", ","")&amp;IF(AND(BG83=1,Skills!$K$20=1),Skills!$B$14&amp;", ","")&amp;IF(AND(BH83=1,Skills!$L$20=1),Skills!$B$15&amp;", ","")&amp;IF(AND(BI83=1,Skills!$M$20=1),Skills!$B$16&amp;", ",""))="","",LEFT(IF(AND(AX83=1,Skills!$B$20=1),Skills!$B$5&amp;", ","")&amp;IF(AND(AY83=1,Skills!$C$20=1),Skills!$B$6&amp;", ","")&amp;IF(AND(AZ83=1,Skills!$D$20=1),Skills!$B$7&amp;", ","")&amp;IF(AND(BA83=1,Skills!$E$20=1),Skills!$B$8&amp;", ","")&amp;IF(AND(BB83=1,Skills!$F$20=1),Skills!$B$9&amp;", ","")&amp;IF(AND(BC83=1,Skills!$G$20=1),Skills!$B$10&amp;", ","")&amp;IF(AND(BD83=1,Skills!$H$20=1),Skills!$B$11&amp;", ","")&amp;IF(AND(BE83=1,Skills!$I$20=1),Skills!$B$12&amp;", ","")&amp;IF(AND(BF83=1,Skills!$J$20=1),Skills!$B$13&amp;", ","")&amp;IF(AND(BG83=1,Skills!$K$20=1),Skills!$B$14&amp;", ","")&amp;IF(AND(BH83=1,Skills!$L$20=1),Skills!$B$15&amp;", ","")&amp;IF(AND(BI83=1,Skills!$M$20=1),Skills!$B$16&amp;", ",""),LEN(IF(AND(AX83=1,Skills!$B$20=1),Skills!$B$5&amp;", ","")&amp;IF(AND(AY83=1,Skills!$C$20=1),Skills!$B$6&amp;", ","")&amp;IF(AND(AZ83=1,Skills!$D$20=1),Skills!$B$7&amp;", ","")&amp;IF(AND(BA83=1,Skills!$E$20=1),Skills!$B$8&amp;", ","")&amp;IF(AND(BB83=1,Skills!$F$20=1),Skills!$B$9&amp;", ","")&amp;IF(AND(BC83=1,Skills!$G$20=1),Skills!$B$10&amp;", ","")&amp;IF(AND(BD83=1,Skills!$H$20=1),Skills!$B$11&amp;", ","")&amp;IF(AND(BE83=1,Skills!$I$20=1),Skills!$B$12&amp;", ","")&amp;IF(AND(BF83=1,Skills!$J$20=1),Skills!$B$13&amp;", ","")&amp;IF(AND(BG83=1,Skills!$K$20=1),Skills!$B$14&amp;", ","")&amp;IF(AND(BH83=1,Skills!$L$20=1),Skills!$B$15&amp;", ","")&amp;IF(AND(BI83=1,Skills!$M$20=1),Skills!$B$16&amp;", ",""))-2)))</f>
        <v/>
      </c>
    </row>
    <row r="84">
      <c r="AD84" s="20" t="n"/>
      <c r="AE84" s="20" t="n"/>
      <c r="AF84" s="20" t="n"/>
      <c r="AG84" s="20" t="n"/>
      <c r="AH84" s="20" t="n"/>
      <c r="AI84" s="20" t="n"/>
      <c r="AJ84" s="20" t="n"/>
      <c r="AK84" s="20" t="n"/>
      <c r="AL84" s="20" t="n"/>
      <c r="AM84" s="20" t="n"/>
      <c r="AN84" s="20" t="n"/>
      <c r="AO84" s="20" t="n"/>
      <c r="AP84" s="20" t="n"/>
      <c r="AR84" s="31">
        <f>IF(IFERROR(TRIM(INDEX($A84:$AB84,MATCH(Lists!$B$5,$A$1:$AB$1,0))&amp;""),"")&lt;&gt;"",IFERROR(TRIM(INDEX($A84:$AB84,MATCH(Lists!$B$5,$A$1:$AB$1,0))&amp;""),""),IFERROR(TRIM(INDEX($A84:$AB84,MATCH(Lists!$B$3,$A$1:$AB$1,0))&amp;""),""))</f>
        <v/>
      </c>
      <c r="AS84" s="31">
        <f>IF(AR84="","",IF(IFERROR(TRIM(INDEX($A84:$AB84,MATCH(Lists!$B$5,$A$1:$AB$1,0))&amp;""),"")&lt;&gt;"","Nominated","Applied"))</f>
        <v/>
      </c>
      <c r="AT84" s="31">
        <f>IF(AR84="","",IF(IFERROR(TRIM(INDEX($A84:$AB84,MATCH(Lists!$B$5,$A$1:$AB$1,0))&amp;""),"")&lt;&gt;"",IFERROR(TRIM(INDEX($A84:$AB84,MATCH(Lists!$B$6,$A$1:$AB$1,0))&amp;""),""),IFERROR(TRIM(INDEX($A84:$AB84,MATCH(Lists!$B$4,$A$1:$AB$1,0))&amp;""),"")))</f>
        <v/>
      </c>
      <c r="AU84" s="31">
        <f>IF(AR84="","",IFERROR(TRIM(INDEX($A84:$AB84,MATCH(Lists!$B$7,$A$1:$AB$1,0))&amp;""),""))</f>
        <v/>
      </c>
      <c r="AV84" s="31">
        <f>IF(AR84="","",IFERROR(TRIM(INDEX($A84:$AB84,MATCH(Lists!$B$9,$A$1:$AB$1,0))&amp;""),""))</f>
        <v/>
      </c>
      <c r="AW84" s="31">
        <f>IF(AR84="","",IFERROR(TRIM(INDEX($A84:$AB84,MATCH(Lists!$B$8,$A$1:$AB$1,0))&amp;""),""))</f>
        <v/>
      </c>
      <c r="AX84" s="23">
        <f>IF(AR84="","",IF(OR(TRIM(AE84&amp;"")&lt;&gt;"",AND(Skills!$B$5&lt;&gt;"",ISNUMBER(SEARCH(Skills!$B$5,AU84)))),1,0))</f>
        <v/>
      </c>
      <c r="AY84" s="23">
        <f>IF(AR84="","",IF(OR(TRIM(AF84&amp;"")&lt;&gt;"",AND(Skills!$B$6&lt;&gt;"",ISNUMBER(SEARCH(Skills!$B$6,AU84)))),1,0))</f>
        <v/>
      </c>
      <c r="AZ84" s="23">
        <f>IF(AR84="","",IF(OR(TRIM(AG84&amp;"")&lt;&gt;"",AND(Skills!$B$7&lt;&gt;"",ISNUMBER(SEARCH(Skills!$B$7,AU84)))),1,0))</f>
        <v/>
      </c>
      <c r="BA84" s="23">
        <f>IF(AR84="","",IF(OR(TRIM(AH84&amp;"")&lt;&gt;"",AND(Skills!$B$8&lt;&gt;"",ISNUMBER(SEARCH(Skills!$B$8,AU84)))),1,0))</f>
        <v/>
      </c>
      <c r="BB84" s="23">
        <f>IF(AR84="","",IF(OR(TRIM(AI84&amp;"")&lt;&gt;"",AND(Skills!$B$9&lt;&gt;"",ISNUMBER(SEARCH(Skills!$B$9,AU84)))),1,0))</f>
        <v/>
      </c>
      <c r="BC84" s="23">
        <f>IF(AR84="","",IF(OR(TRIM(AJ84&amp;"")&lt;&gt;"",AND(Skills!$B$10&lt;&gt;"",ISNUMBER(SEARCH(Skills!$B$10,AU84)))),1,0))</f>
        <v/>
      </c>
      <c r="BD84" s="23">
        <f>IF(AR84="","",IF(OR(TRIM(AK84&amp;"")&lt;&gt;"",AND(Skills!$B$11&lt;&gt;"",ISNUMBER(SEARCH(Skills!$B$11,AU84)))),1,0))</f>
        <v/>
      </c>
      <c r="BE84" s="23">
        <f>IF(AR84="","",IF(OR(TRIM(AL84&amp;"")&lt;&gt;"",AND(Skills!$B$12&lt;&gt;"",ISNUMBER(SEARCH(Skills!$B$12,AU84)))),1,0))</f>
        <v/>
      </c>
      <c r="BF84" s="23">
        <f>IF(AR84="","",IF(OR(TRIM(AM84&amp;"")&lt;&gt;"",AND(Skills!$B$13&lt;&gt;"",ISNUMBER(SEARCH(Skills!$B$13,AU84)))),1,0))</f>
        <v/>
      </c>
      <c r="BG84" s="23">
        <f>IF(AR84="","",IF(OR(TRIM(AN84&amp;"")&lt;&gt;"",AND(Skills!$B$14&lt;&gt;"",ISNUMBER(SEARCH(Skills!$B$14,AU84)))),1,0))</f>
        <v/>
      </c>
      <c r="BH84" s="23">
        <f>IF(AR84="","",IF(OR(TRIM(AO84&amp;"")&lt;&gt;"",AND(Skills!$B$15&lt;&gt;"",ISNUMBER(SEARCH(Skills!$B$15,AU84)))),1,0))</f>
        <v/>
      </c>
      <c r="BI84" s="23">
        <f>IF(AR84="","",IF(OR(TRIM(AP84&amp;"")&lt;&gt;"",AND(Skills!$B$16&lt;&gt;"",ISNUMBER(SEARCH(Skills!$B$16,AU84)))),1,0))</f>
        <v/>
      </c>
      <c r="BJ84" s="23">
        <f>IF(AR84="","",SUMPRODUCT($AX84:$BI84,Skills!$B$20:$M$20))</f>
        <v/>
      </c>
      <c r="BK84" s="23">
        <f>IF(AR84="","",BJ84*100000+(100000-ROW()))</f>
        <v/>
      </c>
      <c r="BL84" s="31">
        <f>IF(AR84="","",IF((IF(AND(AX84=1,Skills!$B$20=1),Skills!$B$5&amp;", ","")&amp;IF(AND(AY84=1,Skills!$C$20=1),Skills!$B$6&amp;", ","")&amp;IF(AND(AZ84=1,Skills!$D$20=1),Skills!$B$7&amp;", ","")&amp;IF(AND(BA84=1,Skills!$E$20=1),Skills!$B$8&amp;", ","")&amp;IF(AND(BB84=1,Skills!$F$20=1),Skills!$B$9&amp;", ","")&amp;IF(AND(BC84=1,Skills!$G$20=1),Skills!$B$10&amp;", ","")&amp;IF(AND(BD84=1,Skills!$H$20=1),Skills!$B$11&amp;", ","")&amp;IF(AND(BE84=1,Skills!$I$20=1),Skills!$B$12&amp;", ","")&amp;IF(AND(BF84=1,Skills!$J$20=1),Skills!$B$13&amp;", ","")&amp;IF(AND(BG84=1,Skills!$K$20=1),Skills!$B$14&amp;", ","")&amp;IF(AND(BH84=1,Skills!$L$20=1),Skills!$B$15&amp;", ","")&amp;IF(AND(BI84=1,Skills!$M$20=1),Skills!$B$16&amp;", ",""))="","",LEFT(IF(AND(AX84=1,Skills!$B$20=1),Skills!$B$5&amp;", ","")&amp;IF(AND(AY84=1,Skills!$C$20=1),Skills!$B$6&amp;", ","")&amp;IF(AND(AZ84=1,Skills!$D$20=1),Skills!$B$7&amp;", ","")&amp;IF(AND(BA84=1,Skills!$E$20=1),Skills!$B$8&amp;", ","")&amp;IF(AND(BB84=1,Skills!$F$20=1),Skills!$B$9&amp;", ","")&amp;IF(AND(BC84=1,Skills!$G$20=1),Skills!$B$10&amp;", ","")&amp;IF(AND(BD84=1,Skills!$H$20=1),Skills!$B$11&amp;", ","")&amp;IF(AND(BE84=1,Skills!$I$20=1),Skills!$B$12&amp;", ","")&amp;IF(AND(BF84=1,Skills!$J$20=1),Skills!$B$13&amp;", ","")&amp;IF(AND(BG84=1,Skills!$K$20=1),Skills!$B$14&amp;", ","")&amp;IF(AND(BH84=1,Skills!$L$20=1),Skills!$B$15&amp;", ","")&amp;IF(AND(BI84=1,Skills!$M$20=1),Skills!$B$16&amp;", ",""),LEN(IF(AND(AX84=1,Skills!$B$20=1),Skills!$B$5&amp;", ","")&amp;IF(AND(AY84=1,Skills!$C$20=1),Skills!$B$6&amp;", ","")&amp;IF(AND(AZ84=1,Skills!$D$20=1),Skills!$B$7&amp;", ","")&amp;IF(AND(BA84=1,Skills!$E$20=1),Skills!$B$8&amp;", ","")&amp;IF(AND(BB84=1,Skills!$F$20=1),Skills!$B$9&amp;", ","")&amp;IF(AND(BC84=1,Skills!$G$20=1),Skills!$B$10&amp;", ","")&amp;IF(AND(BD84=1,Skills!$H$20=1),Skills!$B$11&amp;", ","")&amp;IF(AND(BE84=1,Skills!$I$20=1),Skills!$B$12&amp;", ","")&amp;IF(AND(BF84=1,Skills!$J$20=1),Skills!$B$13&amp;", ","")&amp;IF(AND(BG84=1,Skills!$K$20=1),Skills!$B$14&amp;", ","")&amp;IF(AND(BH84=1,Skills!$L$20=1),Skills!$B$15&amp;", ","")&amp;IF(AND(BI84=1,Skills!$M$20=1),Skills!$B$16&amp;", ",""))-2)))</f>
        <v/>
      </c>
    </row>
    <row r="85">
      <c r="AD85" s="20" t="n"/>
      <c r="AE85" s="20" t="n"/>
      <c r="AF85" s="20" t="n"/>
      <c r="AG85" s="20" t="n"/>
      <c r="AH85" s="20" t="n"/>
      <c r="AI85" s="20" t="n"/>
      <c r="AJ85" s="20" t="n"/>
      <c r="AK85" s="20" t="n"/>
      <c r="AL85" s="20" t="n"/>
      <c r="AM85" s="20" t="n"/>
      <c r="AN85" s="20" t="n"/>
      <c r="AO85" s="20" t="n"/>
      <c r="AP85" s="20" t="n"/>
      <c r="AR85" s="31">
        <f>IF(IFERROR(TRIM(INDEX($A85:$AB85,MATCH(Lists!$B$5,$A$1:$AB$1,0))&amp;""),"")&lt;&gt;"",IFERROR(TRIM(INDEX($A85:$AB85,MATCH(Lists!$B$5,$A$1:$AB$1,0))&amp;""),""),IFERROR(TRIM(INDEX($A85:$AB85,MATCH(Lists!$B$3,$A$1:$AB$1,0))&amp;""),""))</f>
        <v/>
      </c>
      <c r="AS85" s="31">
        <f>IF(AR85="","",IF(IFERROR(TRIM(INDEX($A85:$AB85,MATCH(Lists!$B$5,$A$1:$AB$1,0))&amp;""),"")&lt;&gt;"","Nominated","Applied"))</f>
        <v/>
      </c>
      <c r="AT85" s="31">
        <f>IF(AR85="","",IF(IFERROR(TRIM(INDEX($A85:$AB85,MATCH(Lists!$B$5,$A$1:$AB$1,0))&amp;""),"")&lt;&gt;"",IFERROR(TRIM(INDEX($A85:$AB85,MATCH(Lists!$B$6,$A$1:$AB$1,0))&amp;""),""),IFERROR(TRIM(INDEX($A85:$AB85,MATCH(Lists!$B$4,$A$1:$AB$1,0))&amp;""),"")))</f>
        <v/>
      </c>
      <c r="AU85" s="31">
        <f>IF(AR85="","",IFERROR(TRIM(INDEX($A85:$AB85,MATCH(Lists!$B$7,$A$1:$AB$1,0))&amp;""),""))</f>
        <v/>
      </c>
      <c r="AV85" s="31">
        <f>IF(AR85="","",IFERROR(TRIM(INDEX($A85:$AB85,MATCH(Lists!$B$9,$A$1:$AB$1,0))&amp;""),""))</f>
        <v/>
      </c>
      <c r="AW85" s="31">
        <f>IF(AR85="","",IFERROR(TRIM(INDEX($A85:$AB85,MATCH(Lists!$B$8,$A$1:$AB$1,0))&amp;""),""))</f>
        <v/>
      </c>
      <c r="AX85" s="23">
        <f>IF(AR85="","",IF(OR(TRIM(AE85&amp;"")&lt;&gt;"",AND(Skills!$B$5&lt;&gt;"",ISNUMBER(SEARCH(Skills!$B$5,AU85)))),1,0))</f>
        <v/>
      </c>
      <c r="AY85" s="23">
        <f>IF(AR85="","",IF(OR(TRIM(AF85&amp;"")&lt;&gt;"",AND(Skills!$B$6&lt;&gt;"",ISNUMBER(SEARCH(Skills!$B$6,AU85)))),1,0))</f>
        <v/>
      </c>
      <c r="AZ85" s="23">
        <f>IF(AR85="","",IF(OR(TRIM(AG85&amp;"")&lt;&gt;"",AND(Skills!$B$7&lt;&gt;"",ISNUMBER(SEARCH(Skills!$B$7,AU85)))),1,0))</f>
        <v/>
      </c>
      <c r="BA85" s="23">
        <f>IF(AR85="","",IF(OR(TRIM(AH85&amp;"")&lt;&gt;"",AND(Skills!$B$8&lt;&gt;"",ISNUMBER(SEARCH(Skills!$B$8,AU85)))),1,0))</f>
        <v/>
      </c>
      <c r="BB85" s="23">
        <f>IF(AR85="","",IF(OR(TRIM(AI85&amp;"")&lt;&gt;"",AND(Skills!$B$9&lt;&gt;"",ISNUMBER(SEARCH(Skills!$B$9,AU85)))),1,0))</f>
        <v/>
      </c>
      <c r="BC85" s="23">
        <f>IF(AR85="","",IF(OR(TRIM(AJ85&amp;"")&lt;&gt;"",AND(Skills!$B$10&lt;&gt;"",ISNUMBER(SEARCH(Skills!$B$10,AU85)))),1,0))</f>
        <v/>
      </c>
      <c r="BD85" s="23">
        <f>IF(AR85="","",IF(OR(TRIM(AK85&amp;"")&lt;&gt;"",AND(Skills!$B$11&lt;&gt;"",ISNUMBER(SEARCH(Skills!$B$11,AU85)))),1,0))</f>
        <v/>
      </c>
      <c r="BE85" s="23">
        <f>IF(AR85="","",IF(OR(TRIM(AL85&amp;"")&lt;&gt;"",AND(Skills!$B$12&lt;&gt;"",ISNUMBER(SEARCH(Skills!$B$12,AU85)))),1,0))</f>
        <v/>
      </c>
      <c r="BF85" s="23">
        <f>IF(AR85="","",IF(OR(TRIM(AM85&amp;"")&lt;&gt;"",AND(Skills!$B$13&lt;&gt;"",ISNUMBER(SEARCH(Skills!$B$13,AU85)))),1,0))</f>
        <v/>
      </c>
      <c r="BG85" s="23">
        <f>IF(AR85="","",IF(OR(TRIM(AN85&amp;"")&lt;&gt;"",AND(Skills!$B$14&lt;&gt;"",ISNUMBER(SEARCH(Skills!$B$14,AU85)))),1,0))</f>
        <v/>
      </c>
      <c r="BH85" s="23">
        <f>IF(AR85="","",IF(OR(TRIM(AO85&amp;"")&lt;&gt;"",AND(Skills!$B$15&lt;&gt;"",ISNUMBER(SEARCH(Skills!$B$15,AU85)))),1,0))</f>
        <v/>
      </c>
      <c r="BI85" s="23">
        <f>IF(AR85="","",IF(OR(TRIM(AP85&amp;"")&lt;&gt;"",AND(Skills!$B$16&lt;&gt;"",ISNUMBER(SEARCH(Skills!$B$16,AU85)))),1,0))</f>
        <v/>
      </c>
      <c r="BJ85" s="23">
        <f>IF(AR85="","",SUMPRODUCT($AX85:$BI85,Skills!$B$20:$M$20))</f>
        <v/>
      </c>
      <c r="BK85" s="23">
        <f>IF(AR85="","",BJ85*100000+(100000-ROW()))</f>
        <v/>
      </c>
      <c r="BL85" s="31">
        <f>IF(AR85="","",IF((IF(AND(AX85=1,Skills!$B$20=1),Skills!$B$5&amp;", ","")&amp;IF(AND(AY85=1,Skills!$C$20=1),Skills!$B$6&amp;", ","")&amp;IF(AND(AZ85=1,Skills!$D$20=1),Skills!$B$7&amp;", ","")&amp;IF(AND(BA85=1,Skills!$E$20=1),Skills!$B$8&amp;", ","")&amp;IF(AND(BB85=1,Skills!$F$20=1),Skills!$B$9&amp;", ","")&amp;IF(AND(BC85=1,Skills!$G$20=1),Skills!$B$10&amp;", ","")&amp;IF(AND(BD85=1,Skills!$H$20=1),Skills!$B$11&amp;", ","")&amp;IF(AND(BE85=1,Skills!$I$20=1),Skills!$B$12&amp;", ","")&amp;IF(AND(BF85=1,Skills!$J$20=1),Skills!$B$13&amp;", ","")&amp;IF(AND(BG85=1,Skills!$K$20=1),Skills!$B$14&amp;", ","")&amp;IF(AND(BH85=1,Skills!$L$20=1),Skills!$B$15&amp;", ","")&amp;IF(AND(BI85=1,Skills!$M$20=1),Skills!$B$16&amp;", ",""))="","",LEFT(IF(AND(AX85=1,Skills!$B$20=1),Skills!$B$5&amp;", ","")&amp;IF(AND(AY85=1,Skills!$C$20=1),Skills!$B$6&amp;", ","")&amp;IF(AND(AZ85=1,Skills!$D$20=1),Skills!$B$7&amp;", ","")&amp;IF(AND(BA85=1,Skills!$E$20=1),Skills!$B$8&amp;", ","")&amp;IF(AND(BB85=1,Skills!$F$20=1),Skills!$B$9&amp;", ","")&amp;IF(AND(BC85=1,Skills!$G$20=1),Skills!$B$10&amp;", ","")&amp;IF(AND(BD85=1,Skills!$H$20=1),Skills!$B$11&amp;", ","")&amp;IF(AND(BE85=1,Skills!$I$20=1),Skills!$B$12&amp;", ","")&amp;IF(AND(BF85=1,Skills!$J$20=1),Skills!$B$13&amp;", ","")&amp;IF(AND(BG85=1,Skills!$K$20=1),Skills!$B$14&amp;", ","")&amp;IF(AND(BH85=1,Skills!$L$20=1),Skills!$B$15&amp;", ","")&amp;IF(AND(BI85=1,Skills!$M$20=1),Skills!$B$16&amp;", ",""),LEN(IF(AND(AX85=1,Skills!$B$20=1),Skills!$B$5&amp;", ","")&amp;IF(AND(AY85=1,Skills!$C$20=1),Skills!$B$6&amp;", ","")&amp;IF(AND(AZ85=1,Skills!$D$20=1),Skills!$B$7&amp;", ","")&amp;IF(AND(BA85=1,Skills!$E$20=1),Skills!$B$8&amp;", ","")&amp;IF(AND(BB85=1,Skills!$F$20=1),Skills!$B$9&amp;", ","")&amp;IF(AND(BC85=1,Skills!$G$20=1),Skills!$B$10&amp;", ","")&amp;IF(AND(BD85=1,Skills!$H$20=1),Skills!$B$11&amp;", ","")&amp;IF(AND(BE85=1,Skills!$I$20=1),Skills!$B$12&amp;", ","")&amp;IF(AND(BF85=1,Skills!$J$20=1),Skills!$B$13&amp;", ","")&amp;IF(AND(BG85=1,Skills!$K$20=1),Skills!$B$14&amp;", ","")&amp;IF(AND(BH85=1,Skills!$L$20=1),Skills!$B$15&amp;", ","")&amp;IF(AND(BI85=1,Skills!$M$20=1),Skills!$B$16&amp;", ",""))-2)))</f>
        <v/>
      </c>
    </row>
    <row r="86">
      <c r="AD86" s="20" t="n"/>
      <c r="AE86" s="20" t="n"/>
      <c r="AF86" s="20" t="n"/>
      <c r="AG86" s="20" t="n"/>
      <c r="AH86" s="20" t="n"/>
      <c r="AI86" s="20" t="n"/>
      <c r="AJ86" s="20" t="n"/>
      <c r="AK86" s="20" t="n"/>
      <c r="AL86" s="20" t="n"/>
      <c r="AM86" s="20" t="n"/>
      <c r="AN86" s="20" t="n"/>
      <c r="AO86" s="20" t="n"/>
      <c r="AP86" s="20" t="n"/>
      <c r="AR86" s="31">
        <f>IF(IFERROR(TRIM(INDEX($A86:$AB86,MATCH(Lists!$B$5,$A$1:$AB$1,0))&amp;""),"")&lt;&gt;"",IFERROR(TRIM(INDEX($A86:$AB86,MATCH(Lists!$B$5,$A$1:$AB$1,0))&amp;""),""),IFERROR(TRIM(INDEX($A86:$AB86,MATCH(Lists!$B$3,$A$1:$AB$1,0))&amp;""),""))</f>
        <v/>
      </c>
      <c r="AS86" s="31">
        <f>IF(AR86="","",IF(IFERROR(TRIM(INDEX($A86:$AB86,MATCH(Lists!$B$5,$A$1:$AB$1,0))&amp;""),"")&lt;&gt;"","Nominated","Applied"))</f>
        <v/>
      </c>
      <c r="AT86" s="31">
        <f>IF(AR86="","",IF(IFERROR(TRIM(INDEX($A86:$AB86,MATCH(Lists!$B$5,$A$1:$AB$1,0))&amp;""),"")&lt;&gt;"",IFERROR(TRIM(INDEX($A86:$AB86,MATCH(Lists!$B$6,$A$1:$AB$1,0))&amp;""),""),IFERROR(TRIM(INDEX($A86:$AB86,MATCH(Lists!$B$4,$A$1:$AB$1,0))&amp;""),"")))</f>
        <v/>
      </c>
      <c r="AU86" s="31">
        <f>IF(AR86="","",IFERROR(TRIM(INDEX($A86:$AB86,MATCH(Lists!$B$7,$A$1:$AB$1,0))&amp;""),""))</f>
        <v/>
      </c>
      <c r="AV86" s="31">
        <f>IF(AR86="","",IFERROR(TRIM(INDEX($A86:$AB86,MATCH(Lists!$B$9,$A$1:$AB$1,0))&amp;""),""))</f>
        <v/>
      </c>
      <c r="AW86" s="31">
        <f>IF(AR86="","",IFERROR(TRIM(INDEX($A86:$AB86,MATCH(Lists!$B$8,$A$1:$AB$1,0))&amp;""),""))</f>
        <v/>
      </c>
      <c r="AX86" s="23">
        <f>IF(AR86="","",IF(OR(TRIM(AE86&amp;"")&lt;&gt;"",AND(Skills!$B$5&lt;&gt;"",ISNUMBER(SEARCH(Skills!$B$5,AU86)))),1,0))</f>
        <v/>
      </c>
      <c r="AY86" s="23">
        <f>IF(AR86="","",IF(OR(TRIM(AF86&amp;"")&lt;&gt;"",AND(Skills!$B$6&lt;&gt;"",ISNUMBER(SEARCH(Skills!$B$6,AU86)))),1,0))</f>
        <v/>
      </c>
      <c r="AZ86" s="23">
        <f>IF(AR86="","",IF(OR(TRIM(AG86&amp;"")&lt;&gt;"",AND(Skills!$B$7&lt;&gt;"",ISNUMBER(SEARCH(Skills!$B$7,AU86)))),1,0))</f>
        <v/>
      </c>
      <c r="BA86" s="23">
        <f>IF(AR86="","",IF(OR(TRIM(AH86&amp;"")&lt;&gt;"",AND(Skills!$B$8&lt;&gt;"",ISNUMBER(SEARCH(Skills!$B$8,AU86)))),1,0))</f>
        <v/>
      </c>
      <c r="BB86" s="23">
        <f>IF(AR86="","",IF(OR(TRIM(AI86&amp;"")&lt;&gt;"",AND(Skills!$B$9&lt;&gt;"",ISNUMBER(SEARCH(Skills!$B$9,AU86)))),1,0))</f>
        <v/>
      </c>
      <c r="BC86" s="23">
        <f>IF(AR86="","",IF(OR(TRIM(AJ86&amp;"")&lt;&gt;"",AND(Skills!$B$10&lt;&gt;"",ISNUMBER(SEARCH(Skills!$B$10,AU86)))),1,0))</f>
        <v/>
      </c>
      <c r="BD86" s="23">
        <f>IF(AR86="","",IF(OR(TRIM(AK86&amp;"")&lt;&gt;"",AND(Skills!$B$11&lt;&gt;"",ISNUMBER(SEARCH(Skills!$B$11,AU86)))),1,0))</f>
        <v/>
      </c>
      <c r="BE86" s="23">
        <f>IF(AR86="","",IF(OR(TRIM(AL86&amp;"")&lt;&gt;"",AND(Skills!$B$12&lt;&gt;"",ISNUMBER(SEARCH(Skills!$B$12,AU86)))),1,0))</f>
        <v/>
      </c>
      <c r="BF86" s="23">
        <f>IF(AR86="","",IF(OR(TRIM(AM86&amp;"")&lt;&gt;"",AND(Skills!$B$13&lt;&gt;"",ISNUMBER(SEARCH(Skills!$B$13,AU86)))),1,0))</f>
        <v/>
      </c>
      <c r="BG86" s="23">
        <f>IF(AR86="","",IF(OR(TRIM(AN86&amp;"")&lt;&gt;"",AND(Skills!$B$14&lt;&gt;"",ISNUMBER(SEARCH(Skills!$B$14,AU86)))),1,0))</f>
        <v/>
      </c>
      <c r="BH86" s="23">
        <f>IF(AR86="","",IF(OR(TRIM(AO86&amp;"")&lt;&gt;"",AND(Skills!$B$15&lt;&gt;"",ISNUMBER(SEARCH(Skills!$B$15,AU86)))),1,0))</f>
        <v/>
      </c>
      <c r="BI86" s="23">
        <f>IF(AR86="","",IF(OR(TRIM(AP86&amp;"")&lt;&gt;"",AND(Skills!$B$16&lt;&gt;"",ISNUMBER(SEARCH(Skills!$B$16,AU86)))),1,0))</f>
        <v/>
      </c>
      <c r="BJ86" s="23">
        <f>IF(AR86="","",SUMPRODUCT($AX86:$BI86,Skills!$B$20:$M$20))</f>
        <v/>
      </c>
      <c r="BK86" s="23">
        <f>IF(AR86="","",BJ86*100000+(100000-ROW()))</f>
        <v/>
      </c>
      <c r="BL86" s="31">
        <f>IF(AR86="","",IF((IF(AND(AX86=1,Skills!$B$20=1),Skills!$B$5&amp;", ","")&amp;IF(AND(AY86=1,Skills!$C$20=1),Skills!$B$6&amp;", ","")&amp;IF(AND(AZ86=1,Skills!$D$20=1),Skills!$B$7&amp;", ","")&amp;IF(AND(BA86=1,Skills!$E$20=1),Skills!$B$8&amp;", ","")&amp;IF(AND(BB86=1,Skills!$F$20=1),Skills!$B$9&amp;", ","")&amp;IF(AND(BC86=1,Skills!$G$20=1),Skills!$B$10&amp;", ","")&amp;IF(AND(BD86=1,Skills!$H$20=1),Skills!$B$11&amp;", ","")&amp;IF(AND(BE86=1,Skills!$I$20=1),Skills!$B$12&amp;", ","")&amp;IF(AND(BF86=1,Skills!$J$20=1),Skills!$B$13&amp;", ","")&amp;IF(AND(BG86=1,Skills!$K$20=1),Skills!$B$14&amp;", ","")&amp;IF(AND(BH86=1,Skills!$L$20=1),Skills!$B$15&amp;", ","")&amp;IF(AND(BI86=1,Skills!$M$20=1),Skills!$B$16&amp;", ",""))="","",LEFT(IF(AND(AX86=1,Skills!$B$20=1),Skills!$B$5&amp;", ","")&amp;IF(AND(AY86=1,Skills!$C$20=1),Skills!$B$6&amp;", ","")&amp;IF(AND(AZ86=1,Skills!$D$20=1),Skills!$B$7&amp;", ","")&amp;IF(AND(BA86=1,Skills!$E$20=1),Skills!$B$8&amp;", ","")&amp;IF(AND(BB86=1,Skills!$F$20=1),Skills!$B$9&amp;", ","")&amp;IF(AND(BC86=1,Skills!$G$20=1),Skills!$B$10&amp;", ","")&amp;IF(AND(BD86=1,Skills!$H$20=1),Skills!$B$11&amp;", ","")&amp;IF(AND(BE86=1,Skills!$I$20=1),Skills!$B$12&amp;", ","")&amp;IF(AND(BF86=1,Skills!$J$20=1),Skills!$B$13&amp;", ","")&amp;IF(AND(BG86=1,Skills!$K$20=1),Skills!$B$14&amp;", ","")&amp;IF(AND(BH86=1,Skills!$L$20=1),Skills!$B$15&amp;", ","")&amp;IF(AND(BI86=1,Skills!$M$20=1),Skills!$B$16&amp;", ",""),LEN(IF(AND(AX86=1,Skills!$B$20=1),Skills!$B$5&amp;", ","")&amp;IF(AND(AY86=1,Skills!$C$20=1),Skills!$B$6&amp;", ","")&amp;IF(AND(AZ86=1,Skills!$D$20=1),Skills!$B$7&amp;", ","")&amp;IF(AND(BA86=1,Skills!$E$20=1),Skills!$B$8&amp;", ","")&amp;IF(AND(BB86=1,Skills!$F$20=1),Skills!$B$9&amp;", ","")&amp;IF(AND(BC86=1,Skills!$G$20=1),Skills!$B$10&amp;", ","")&amp;IF(AND(BD86=1,Skills!$H$20=1),Skills!$B$11&amp;", ","")&amp;IF(AND(BE86=1,Skills!$I$20=1),Skills!$B$12&amp;", ","")&amp;IF(AND(BF86=1,Skills!$J$20=1),Skills!$B$13&amp;", ","")&amp;IF(AND(BG86=1,Skills!$K$20=1),Skills!$B$14&amp;", ","")&amp;IF(AND(BH86=1,Skills!$L$20=1),Skills!$B$15&amp;", ","")&amp;IF(AND(BI86=1,Skills!$M$20=1),Skills!$B$16&amp;", ",""))-2)))</f>
        <v/>
      </c>
    </row>
    <row r="87">
      <c r="AD87" s="20" t="n"/>
      <c r="AE87" s="20" t="n"/>
      <c r="AF87" s="20" t="n"/>
      <c r="AG87" s="20" t="n"/>
      <c r="AH87" s="20" t="n"/>
      <c r="AI87" s="20" t="n"/>
      <c r="AJ87" s="20" t="n"/>
      <c r="AK87" s="20" t="n"/>
      <c r="AL87" s="20" t="n"/>
      <c r="AM87" s="20" t="n"/>
      <c r="AN87" s="20" t="n"/>
      <c r="AO87" s="20" t="n"/>
      <c r="AP87" s="20" t="n"/>
      <c r="AR87" s="31">
        <f>IF(IFERROR(TRIM(INDEX($A87:$AB87,MATCH(Lists!$B$5,$A$1:$AB$1,0))&amp;""),"")&lt;&gt;"",IFERROR(TRIM(INDEX($A87:$AB87,MATCH(Lists!$B$5,$A$1:$AB$1,0))&amp;""),""),IFERROR(TRIM(INDEX($A87:$AB87,MATCH(Lists!$B$3,$A$1:$AB$1,0))&amp;""),""))</f>
        <v/>
      </c>
      <c r="AS87" s="31">
        <f>IF(AR87="","",IF(IFERROR(TRIM(INDEX($A87:$AB87,MATCH(Lists!$B$5,$A$1:$AB$1,0))&amp;""),"")&lt;&gt;"","Nominated","Applied"))</f>
        <v/>
      </c>
      <c r="AT87" s="31">
        <f>IF(AR87="","",IF(IFERROR(TRIM(INDEX($A87:$AB87,MATCH(Lists!$B$5,$A$1:$AB$1,0))&amp;""),"")&lt;&gt;"",IFERROR(TRIM(INDEX($A87:$AB87,MATCH(Lists!$B$6,$A$1:$AB$1,0))&amp;""),""),IFERROR(TRIM(INDEX($A87:$AB87,MATCH(Lists!$B$4,$A$1:$AB$1,0))&amp;""),"")))</f>
        <v/>
      </c>
      <c r="AU87" s="31">
        <f>IF(AR87="","",IFERROR(TRIM(INDEX($A87:$AB87,MATCH(Lists!$B$7,$A$1:$AB$1,0))&amp;""),""))</f>
        <v/>
      </c>
      <c r="AV87" s="31">
        <f>IF(AR87="","",IFERROR(TRIM(INDEX($A87:$AB87,MATCH(Lists!$B$9,$A$1:$AB$1,0))&amp;""),""))</f>
        <v/>
      </c>
      <c r="AW87" s="31">
        <f>IF(AR87="","",IFERROR(TRIM(INDEX($A87:$AB87,MATCH(Lists!$B$8,$A$1:$AB$1,0))&amp;""),""))</f>
        <v/>
      </c>
      <c r="AX87" s="23">
        <f>IF(AR87="","",IF(OR(TRIM(AE87&amp;"")&lt;&gt;"",AND(Skills!$B$5&lt;&gt;"",ISNUMBER(SEARCH(Skills!$B$5,AU87)))),1,0))</f>
        <v/>
      </c>
      <c r="AY87" s="23">
        <f>IF(AR87="","",IF(OR(TRIM(AF87&amp;"")&lt;&gt;"",AND(Skills!$B$6&lt;&gt;"",ISNUMBER(SEARCH(Skills!$B$6,AU87)))),1,0))</f>
        <v/>
      </c>
      <c r="AZ87" s="23">
        <f>IF(AR87="","",IF(OR(TRIM(AG87&amp;"")&lt;&gt;"",AND(Skills!$B$7&lt;&gt;"",ISNUMBER(SEARCH(Skills!$B$7,AU87)))),1,0))</f>
        <v/>
      </c>
      <c r="BA87" s="23">
        <f>IF(AR87="","",IF(OR(TRIM(AH87&amp;"")&lt;&gt;"",AND(Skills!$B$8&lt;&gt;"",ISNUMBER(SEARCH(Skills!$B$8,AU87)))),1,0))</f>
        <v/>
      </c>
      <c r="BB87" s="23">
        <f>IF(AR87="","",IF(OR(TRIM(AI87&amp;"")&lt;&gt;"",AND(Skills!$B$9&lt;&gt;"",ISNUMBER(SEARCH(Skills!$B$9,AU87)))),1,0))</f>
        <v/>
      </c>
      <c r="BC87" s="23">
        <f>IF(AR87="","",IF(OR(TRIM(AJ87&amp;"")&lt;&gt;"",AND(Skills!$B$10&lt;&gt;"",ISNUMBER(SEARCH(Skills!$B$10,AU87)))),1,0))</f>
        <v/>
      </c>
      <c r="BD87" s="23">
        <f>IF(AR87="","",IF(OR(TRIM(AK87&amp;"")&lt;&gt;"",AND(Skills!$B$11&lt;&gt;"",ISNUMBER(SEARCH(Skills!$B$11,AU87)))),1,0))</f>
        <v/>
      </c>
      <c r="BE87" s="23">
        <f>IF(AR87="","",IF(OR(TRIM(AL87&amp;"")&lt;&gt;"",AND(Skills!$B$12&lt;&gt;"",ISNUMBER(SEARCH(Skills!$B$12,AU87)))),1,0))</f>
        <v/>
      </c>
      <c r="BF87" s="23">
        <f>IF(AR87="","",IF(OR(TRIM(AM87&amp;"")&lt;&gt;"",AND(Skills!$B$13&lt;&gt;"",ISNUMBER(SEARCH(Skills!$B$13,AU87)))),1,0))</f>
        <v/>
      </c>
      <c r="BG87" s="23">
        <f>IF(AR87="","",IF(OR(TRIM(AN87&amp;"")&lt;&gt;"",AND(Skills!$B$14&lt;&gt;"",ISNUMBER(SEARCH(Skills!$B$14,AU87)))),1,0))</f>
        <v/>
      </c>
      <c r="BH87" s="23">
        <f>IF(AR87="","",IF(OR(TRIM(AO87&amp;"")&lt;&gt;"",AND(Skills!$B$15&lt;&gt;"",ISNUMBER(SEARCH(Skills!$B$15,AU87)))),1,0))</f>
        <v/>
      </c>
      <c r="BI87" s="23">
        <f>IF(AR87="","",IF(OR(TRIM(AP87&amp;"")&lt;&gt;"",AND(Skills!$B$16&lt;&gt;"",ISNUMBER(SEARCH(Skills!$B$16,AU87)))),1,0))</f>
        <v/>
      </c>
      <c r="BJ87" s="23">
        <f>IF(AR87="","",SUMPRODUCT($AX87:$BI87,Skills!$B$20:$M$20))</f>
        <v/>
      </c>
      <c r="BK87" s="23">
        <f>IF(AR87="","",BJ87*100000+(100000-ROW()))</f>
        <v/>
      </c>
      <c r="BL87" s="31">
        <f>IF(AR87="","",IF((IF(AND(AX87=1,Skills!$B$20=1),Skills!$B$5&amp;", ","")&amp;IF(AND(AY87=1,Skills!$C$20=1),Skills!$B$6&amp;", ","")&amp;IF(AND(AZ87=1,Skills!$D$20=1),Skills!$B$7&amp;", ","")&amp;IF(AND(BA87=1,Skills!$E$20=1),Skills!$B$8&amp;", ","")&amp;IF(AND(BB87=1,Skills!$F$20=1),Skills!$B$9&amp;", ","")&amp;IF(AND(BC87=1,Skills!$G$20=1),Skills!$B$10&amp;", ","")&amp;IF(AND(BD87=1,Skills!$H$20=1),Skills!$B$11&amp;", ","")&amp;IF(AND(BE87=1,Skills!$I$20=1),Skills!$B$12&amp;", ","")&amp;IF(AND(BF87=1,Skills!$J$20=1),Skills!$B$13&amp;", ","")&amp;IF(AND(BG87=1,Skills!$K$20=1),Skills!$B$14&amp;", ","")&amp;IF(AND(BH87=1,Skills!$L$20=1),Skills!$B$15&amp;", ","")&amp;IF(AND(BI87=1,Skills!$M$20=1),Skills!$B$16&amp;", ",""))="","",LEFT(IF(AND(AX87=1,Skills!$B$20=1),Skills!$B$5&amp;", ","")&amp;IF(AND(AY87=1,Skills!$C$20=1),Skills!$B$6&amp;", ","")&amp;IF(AND(AZ87=1,Skills!$D$20=1),Skills!$B$7&amp;", ","")&amp;IF(AND(BA87=1,Skills!$E$20=1),Skills!$B$8&amp;", ","")&amp;IF(AND(BB87=1,Skills!$F$20=1),Skills!$B$9&amp;", ","")&amp;IF(AND(BC87=1,Skills!$G$20=1),Skills!$B$10&amp;", ","")&amp;IF(AND(BD87=1,Skills!$H$20=1),Skills!$B$11&amp;", ","")&amp;IF(AND(BE87=1,Skills!$I$20=1),Skills!$B$12&amp;", ","")&amp;IF(AND(BF87=1,Skills!$J$20=1),Skills!$B$13&amp;", ","")&amp;IF(AND(BG87=1,Skills!$K$20=1),Skills!$B$14&amp;", ","")&amp;IF(AND(BH87=1,Skills!$L$20=1),Skills!$B$15&amp;", ","")&amp;IF(AND(BI87=1,Skills!$M$20=1),Skills!$B$16&amp;", ",""),LEN(IF(AND(AX87=1,Skills!$B$20=1),Skills!$B$5&amp;", ","")&amp;IF(AND(AY87=1,Skills!$C$20=1),Skills!$B$6&amp;", ","")&amp;IF(AND(AZ87=1,Skills!$D$20=1),Skills!$B$7&amp;", ","")&amp;IF(AND(BA87=1,Skills!$E$20=1),Skills!$B$8&amp;", ","")&amp;IF(AND(BB87=1,Skills!$F$20=1),Skills!$B$9&amp;", ","")&amp;IF(AND(BC87=1,Skills!$G$20=1),Skills!$B$10&amp;", ","")&amp;IF(AND(BD87=1,Skills!$H$20=1),Skills!$B$11&amp;", ","")&amp;IF(AND(BE87=1,Skills!$I$20=1),Skills!$B$12&amp;", ","")&amp;IF(AND(BF87=1,Skills!$J$20=1),Skills!$B$13&amp;", ","")&amp;IF(AND(BG87=1,Skills!$K$20=1),Skills!$B$14&amp;", ","")&amp;IF(AND(BH87=1,Skills!$L$20=1),Skills!$B$15&amp;", ","")&amp;IF(AND(BI87=1,Skills!$M$20=1),Skills!$B$16&amp;", ",""))-2)))</f>
        <v/>
      </c>
    </row>
    <row r="88">
      <c r="AD88" s="20" t="n"/>
      <c r="AE88" s="20" t="n"/>
      <c r="AF88" s="20" t="n"/>
      <c r="AG88" s="20" t="n"/>
      <c r="AH88" s="20" t="n"/>
      <c r="AI88" s="20" t="n"/>
      <c r="AJ88" s="20" t="n"/>
      <c r="AK88" s="20" t="n"/>
      <c r="AL88" s="20" t="n"/>
      <c r="AM88" s="20" t="n"/>
      <c r="AN88" s="20" t="n"/>
      <c r="AO88" s="20" t="n"/>
      <c r="AP88" s="20" t="n"/>
      <c r="AR88" s="31">
        <f>IF(IFERROR(TRIM(INDEX($A88:$AB88,MATCH(Lists!$B$5,$A$1:$AB$1,0))&amp;""),"")&lt;&gt;"",IFERROR(TRIM(INDEX($A88:$AB88,MATCH(Lists!$B$5,$A$1:$AB$1,0))&amp;""),""),IFERROR(TRIM(INDEX($A88:$AB88,MATCH(Lists!$B$3,$A$1:$AB$1,0))&amp;""),""))</f>
        <v/>
      </c>
      <c r="AS88" s="31">
        <f>IF(AR88="","",IF(IFERROR(TRIM(INDEX($A88:$AB88,MATCH(Lists!$B$5,$A$1:$AB$1,0))&amp;""),"")&lt;&gt;"","Nominated","Applied"))</f>
        <v/>
      </c>
      <c r="AT88" s="31">
        <f>IF(AR88="","",IF(IFERROR(TRIM(INDEX($A88:$AB88,MATCH(Lists!$B$5,$A$1:$AB$1,0))&amp;""),"")&lt;&gt;"",IFERROR(TRIM(INDEX($A88:$AB88,MATCH(Lists!$B$6,$A$1:$AB$1,0))&amp;""),""),IFERROR(TRIM(INDEX($A88:$AB88,MATCH(Lists!$B$4,$A$1:$AB$1,0))&amp;""),"")))</f>
        <v/>
      </c>
      <c r="AU88" s="31">
        <f>IF(AR88="","",IFERROR(TRIM(INDEX($A88:$AB88,MATCH(Lists!$B$7,$A$1:$AB$1,0))&amp;""),""))</f>
        <v/>
      </c>
      <c r="AV88" s="31">
        <f>IF(AR88="","",IFERROR(TRIM(INDEX($A88:$AB88,MATCH(Lists!$B$9,$A$1:$AB$1,0))&amp;""),""))</f>
        <v/>
      </c>
      <c r="AW88" s="31">
        <f>IF(AR88="","",IFERROR(TRIM(INDEX($A88:$AB88,MATCH(Lists!$B$8,$A$1:$AB$1,0))&amp;""),""))</f>
        <v/>
      </c>
      <c r="AX88" s="23">
        <f>IF(AR88="","",IF(OR(TRIM(AE88&amp;"")&lt;&gt;"",AND(Skills!$B$5&lt;&gt;"",ISNUMBER(SEARCH(Skills!$B$5,AU88)))),1,0))</f>
        <v/>
      </c>
      <c r="AY88" s="23">
        <f>IF(AR88="","",IF(OR(TRIM(AF88&amp;"")&lt;&gt;"",AND(Skills!$B$6&lt;&gt;"",ISNUMBER(SEARCH(Skills!$B$6,AU88)))),1,0))</f>
        <v/>
      </c>
      <c r="AZ88" s="23">
        <f>IF(AR88="","",IF(OR(TRIM(AG88&amp;"")&lt;&gt;"",AND(Skills!$B$7&lt;&gt;"",ISNUMBER(SEARCH(Skills!$B$7,AU88)))),1,0))</f>
        <v/>
      </c>
      <c r="BA88" s="23">
        <f>IF(AR88="","",IF(OR(TRIM(AH88&amp;"")&lt;&gt;"",AND(Skills!$B$8&lt;&gt;"",ISNUMBER(SEARCH(Skills!$B$8,AU88)))),1,0))</f>
        <v/>
      </c>
      <c r="BB88" s="23">
        <f>IF(AR88="","",IF(OR(TRIM(AI88&amp;"")&lt;&gt;"",AND(Skills!$B$9&lt;&gt;"",ISNUMBER(SEARCH(Skills!$B$9,AU88)))),1,0))</f>
        <v/>
      </c>
      <c r="BC88" s="23">
        <f>IF(AR88="","",IF(OR(TRIM(AJ88&amp;"")&lt;&gt;"",AND(Skills!$B$10&lt;&gt;"",ISNUMBER(SEARCH(Skills!$B$10,AU88)))),1,0))</f>
        <v/>
      </c>
      <c r="BD88" s="23">
        <f>IF(AR88="","",IF(OR(TRIM(AK88&amp;"")&lt;&gt;"",AND(Skills!$B$11&lt;&gt;"",ISNUMBER(SEARCH(Skills!$B$11,AU88)))),1,0))</f>
        <v/>
      </c>
      <c r="BE88" s="23">
        <f>IF(AR88="","",IF(OR(TRIM(AL88&amp;"")&lt;&gt;"",AND(Skills!$B$12&lt;&gt;"",ISNUMBER(SEARCH(Skills!$B$12,AU88)))),1,0))</f>
        <v/>
      </c>
      <c r="BF88" s="23">
        <f>IF(AR88="","",IF(OR(TRIM(AM88&amp;"")&lt;&gt;"",AND(Skills!$B$13&lt;&gt;"",ISNUMBER(SEARCH(Skills!$B$13,AU88)))),1,0))</f>
        <v/>
      </c>
      <c r="BG88" s="23">
        <f>IF(AR88="","",IF(OR(TRIM(AN88&amp;"")&lt;&gt;"",AND(Skills!$B$14&lt;&gt;"",ISNUMBER(SEARCH(Skills!$B$14,AU88)))),1,0))</f>
        <v/>
      </c>
      <c r="BH88" s="23">
        <f>IF(AR88="","",IF(OR(TRIM(AO88&amp;"")&lt;&gt;"",AND(Skills!$B$15&lt;&gt;"",ISNUMBER(SEARCH(Skills!$B$15,AU88)))),1,0))</f>
        <v/>
      </c>
      <c r="BI88" s="23">
        <f>IF(AR88="","",IF(OR(TRIM(AP88&amp;"")&lt;&gt;"",AND(Skills!$B$16&lt;&gt;"",ISNUMBER(SEARCH(Skills!$B$16,AU88)))),1,0))</f>
        <v/>
      </c>
      <c r="BJ88" s="23">
        <f>IF(AR88="","",SUMPRODUCT($AX88:$BI88,Skills!$B$20:$M$20))</f>
        <v/>
      </c>
      <c r="BK88" s="23">
        <f>IF(AR88="","",BJ88*100000+(100000-ROW()))</f>
        <v/>
      </c>
      <c r="BL88" s="31">
        <f>IF(AR88="","",IF((IF(AND(AX88=1,Skills!$B$20=1),Skills!$B$5&amp;", ","")&amp;IF(AND(AY88=1,Skills!$C$20=1),Skills!$B$6&amp;", ","")&amp;IF(AND(AZ88=1,Skills!$D$20=1),Skills!$B$7&amp;", ","")&amp;IF(AND(BA88=1,Skills!$E$20=1),Skills!$B$8&amp;", ","")&amp;IF(AND(BB88=1,Skills!$F$20=1),Skills!$B$9&amp;", ","")&amp;IF(AND(BC88=1,Skills!$G$20=1),Skills!$B$10&amp;", ","")&amp;IF(AND(BD88=1,Skills!$H$20=1),Skills!$B$11&amp;", ","")&amp;IF(AND(BE88=1,Skills!$I$20=1),Skills!$B$12&amp;", ","")&amp;IF(AND(BF88=1,Skills!$J$20=1),Skills!$B$13&amp;", ","")&amp;IF(AND(BG88=1,Skills!$K$20=1),Skills!$B$14&amp;", ","")&amp;IF(AND(BH88=1,Skills!$L$20=1),Skills!$B$15&amp;", ","")&amp;IF(AND(BI88=1,Skills!$M$20=1),Skills!$B$16&amp;", ",""))="","",LEFT(IF(AND(AX88=1,Skills!$B$20=1),Skills!$B$5&amp;", ","")&amp;IF(AND(AY88=1,Skills!$C$20=1),Skills!$B$6&amp;", ","")&amp;IF(AND(AZ88=1,Skills!$D$20=1),Skills!$B$7&amp;", ","")&amp;IF(AND(BA88=1,Skills!$E$20=1),Skills!$B$8&amp;", ","")&amp;IF(AND(BB88=1,Skills!$F$20=1),Skills!$B$9&amp;", ","")&amp;IF(AND(BC88=1,Skills!$G$20=1),Skills!$B$10&amp;", ","")&amp;IF(AND(BD88=1,Skills!$H$20=1),Skills!$B$11&amp;", ","")&amp;IF(AND(BE88=1,Skills!$I$20=1),Skills!$B$12&amp;", ","")&amp;IF(AND(BF88=1,Skills!$J$20=1),Skills!$B$13&amp;", ","")&amp;IF(AND(BG88=1,Skills!$K$20=1),Skills!$B$14&amp;", ","")&amp;IF(AND(BH88=1,Skills!$L$20=1),Skills!$B$15&amp;", ","")&amp;IF(AND(BI88=1,Skills!$M$20=1),Skills!$B$16&amp;", ",""),LEN(IF(AND(AX88=1,Skills!$B$20=1),Skills!$B$5&amp;", ","")&amp;IF(AND(AY88=1,Skills!$C$20=1),Skills!$B$6&amp;", ","")&amp;IF(AND(AZ88=1,Skills!$D$20=1),Skills!$B$7&amp;", ","")&amp;IF(AND(BA88=1,Skills!$E$20=1),Skills!$B$8&amp;", ","")&amp;IF(AND(BB88=1,Skills!$F$20=1),Skills!$B$9&amp;", ","")&amp;IF(AND(BC88=1,Skills!$G$20=1),Skills!$B$10&amp;", ","")&amp;IF(AND(BD88=1,Skills!$H$20=1),Skills!$B$11&amp;", ","")&amp;IF(AND(BE88=1,Skills!$I$20=1),Skills!$B$12&amp;", ","")&amp;IF(AND(BF88=1,Skills!$J$20=1),Skills!$B$13&amp;", ","")&amp;IF(AND(BG88=1,Skills!$K$20=1),Skills!$B$14&amp;", ","")&amp;IF(AND(BH88=1,Skills!$L$20=1),Skills!$B$15&amp;", ","")&amp;IF(AND(BI88=1,Skills!$M$20=1),Skills!$B$16&amp;", ",""))-2)))</f>
        <v/>
      </c>
    </row>
    <row r="89">
      <c r="AD89" s="20" t="n"/>
      <c r="AE89" s="20" t="n"/>
      <c r="AF89" s="20" t="n"/>
      <c r="AG89" s="20" t="n"/>
      <c r="AH89" s="20" t="n"/>
      <c r="AI89" s="20" t="n"/>
      <c r="AJ89" s="20" t="n"/>
      <c r="AK89" s="20" t="n"/>
      <c r="AL89" s="20" t="n"/>
      <c r="AM89" s="20" t="n"/>
      <c r="AN89" s="20" t="n"/>
      <c r="AO89" s="20" t="n"/>
      <c r="AP89" s="20" t="n"/>
      <c r="AR89" s="31">
        <f>IF(IFERROR(TRIM(INDEX($A89:$AB89,MATCH(Lists!$B$5,$A$1:$AB$1,0))&amp;""),"")&lt;&gt;"",IFERROR(TRIM(INDEX($A89:$AB89,MATCH(Lists!$B$5,$A$1:$AB$1,0))&amp;""),""),IFERROR(TRIM(INDEX($A89:$AB89,MATCH(Lists!$B$3,$A$1:$AB$1,0))&amp;""),""))</f>
        <v/>
      </c>
      <c r="AS89" s="31">
        <f>IF(AR89="","",IF(IFERROR(TRIM(INDEX($A89:$AB89,MATCH(Lists!$B$5,$A$1:$AB$1,0))&amp;""),"")&lt;&gt;"","Nominated","Applied"))</f>
        <v/>
      </c>
      <c r="AT89" s="31">
        <f>IF(AR89="","",IF(IFERROR(TRIM(INDEX($A89:$AB89,MATCH(Lists!$B$5,$A$1:$AB$1,0))&amp;""),"")&lt;&gt;"",IFERROR(TRIM(INDEX($A89:$AB89,MATCH(Lists!$B$6,$A$1:$AB$1,0))&amp;""),""),IFERROR(TRIM(INDEX($A89:$AB89,MATCH(Lists!$B$4,$A$1:$AB$1,0))&amp;""),"")))</f>
        <v/>
      </c>
      <c r="AU89" s="31">
        <f>IF(AR89="","",IFERROR(TRIM(INDEX($A89:$AB89,MATCH(Lists!$B$7,$A$1:$AB$1,0))&amp;""),""))</f>
        <v/>
      </c>
      <c r="AV89" s="31">
        <f>IF(AR89="","",IFERROR(TRIM(INDEX($A89:$AB89,MATCH(Lists!$B$9,$A$1:$AB$1,0))&amp;""),""))</f>
        <v/>
      </c>
      <c r="AW89" s="31">
        <f>IF(AR89="","",IFERROR(TRIM(INDEX($A89:$AB89,MATCH(Lists!$B$8,$A$1:$AB$1,0))&amp;""),""))</f>
        <v/>
      </c>
      <c r="AX89" s="23">
        <f>IF(AR89="","",IF(OR(TRIM(AE89&amp;"")&lt;&gt;"",AND(Skills!$B$5&lt;&gt;"",ISNUMBER(SEARCH(Skills!$B$5,AU89)))),1,0))</f>
        <v/>
      </c>
      <c r="AY89" s="23">
        <f>IF(AR89="","",IF(OR(TRIM(AF89&amp;"")&lt;&gt;"",AND(Skills!$B$6&lt;&gt;"",ISNUMBER(SEARCH(Skills!$B$6,AU89)))),1,0))</f>
        <v/>
      </c>
      <c r="AZ89" s="23">
        <f>IF(AR89="","",IF(OR(TRIM(AG89&amp;"")&lt;&gt;"",AND(Skills!$B$7&lt;&gt;"",ISNUMBER(SEARCH(Skills!$B$7,AU89)))),1,0))</f>
        <v/>
      </c>
      <c r="BA89" s="23">
        <f>IF(AR89="","",IF(OR(TRIM(AH89&amp;"")&lt;&gt;"",AND(Skills!$B$8&lt;&gt;"",ISNUMBER(SEARCH(Skills!$B$8,AU89)))),1,0))</f>
        <v/>
      </c>
      <c r="BB89" s="23">
        <f>IF(AR89="","",IF(OR(TRIM(AI89&amp;"")&lt;&gt;"",AND(Skills!$B$9&lt;&gt;"",ISNUMBER(SEARCH(Skills!$B$9,AU89)))),1,0))</f>
        <v/>
      </c>
      <c r="BC89" s="23">
        <f>IF(AR89="","",IF(OR(TRIM(AJ89&amp;"")&lt;&gt;"",AND(Skills!$B$10&lt;&gt;"",ISNUMBER(SEARCH(Skills!$B$10,AU89)))),1,0))</f>
        <v/>
      </c>
      <c r="BD89" s="23">
        <f>IF(AR89="","",IF(OR(TRIM(AK89&amp;"")&lt;&gt;"",AND(Skills!$B$11&lt;&gt;"",ISNUMBER(SEARCH(Skills!$B$11,AU89)))),1,0))</f>
        <v/>
      </c>
      <c r="BE89" s="23">
        <f>IF(AR89="","",IF(OR(TRIM(AL89&amp;"")&lt;&gt;"",AND(Skills!$B$12&lt;&gt;"",ISNUMBER(SEARCH(Skills!$B$12,AU89)))),1,0))</f>
        <v/>
      </c>
      <c r="BF89" s="23">
        <f>IF(AR89="","",IF(OR(TRIM(AM89&amp;"")&lt;&gt;"",AND(Skills!$B$13&lt;&gt;"",ISNUMBER(SEARCH(Skills!$B$13,AU89)))),1,0))</f>
        <v/>
      </c>
      <c r="BG89" s="23">
        <f>IF(AR89="","",IF(OR(TRIM(AN89&amp;"")&lt;&gt;"",AND(Skills!$B$14&lt;&gt;"",ISNUMBER(SEARCH(Skills!$B$14,AU89)))),1,0))</f>
        <v/>
      </c>
      <c r="BH89" s="23">
        <f>IF(AR89="","",IF(OR(TRIM(AO89&amp;"")&lt;&gt;"",AND(Skills!$B$15&lt;&gt;"",ISNUMBER(SEARCH(Skills!$B$15,AU89)))),1,0))</f>
        <v/>
      </c>
      <c r="BI89" s="23">
        <f>IF(AR89="","",IF(OR(TRIM(AP89&amp;"")&lt;&gt;"",AND(Skills!$B$16&lt;&gt;"",ISNUMBER(SEARCH(Skills!$B$16,AU89)))),1,0))</f>
        <v/>
      </c>
      <c r="BJ89" s="23">
        <f>IF(AR89="","",SUMPRODUCT($AX89:$BI89,Skills!$B$20:$M$20))</f>
        <v/>
      </c>
      <c r="BK89" s="23">
        <f>IF(AR89="","",BJ89*100000+(100000-ROW()))</f>
        <v/>
      </c>
      <c r="BL89" s="31">
        <f>IF(AR89="","",IF((IF(AND(AX89=1,Skills!$B$20=1),Skills!$B$5&amp;", ","")&amp;IF(AND(AY89=1,Skills!$C$20=1),Skills!$B$6&amp;", ","")&amp;IF(AND(AZ89=1,Skills!$D$20=1),Skills!$B$7&amp;", ","")&amp;IF(AND(BA89=1,Skills!$E$20=1),Skills!$B$8&amp;", ","")&amp;IF(AND(BB89=1,Skills!$F$20=1),Skills!$B$9&amp;", ","")&amp;IF(AND(BC89=1,Skills!$G$20=1),Skills!$B$10&amp;", ","")&amp;IF(AND(BD89=1,Skills!$H$20=1),Skills!$B$11&amp;", ","")&amp;IF(AND(BE89=1,Skills!$I$20=1),Skills!$B$12&amp;", ","")&amp;IF(AND(BF89=1,Skills!$J$20=1),Skills!$B$13&amp;", ","")&amp;IF(AND(BG89=1,Skills!$K$20=1),Skills!$B$14&amp;", ","")&amp;IF(AND(BH89=1,Skills!$L$20=1),Skills!$B$15&amp;", ","")&amp;IF(AND(BI89=1,Skills!$M$20=1),Skills!$B$16&amp;", ",""))="","",LEFT(IF(AND(AX89=1,Skills!$B$20=1),Skills!$B$5&amp;", ","")&amp;IF(AND(AY89=1,Skills!$C$20=1),Skills!$B$6&amp;", ","")&amp;IF(AND(AZ89=1,Skills!$D$20=1),Skills!$B$7&amp;", ","")&amp;IF(AND(BA89=1,Skills!$E$20=1),Skills!$B$8&amp;", ","")&amp;IF(AND(BB89=1,Skills!$F$20=1),Skills!$B$9&amp;", ","")&amp;IF(AND(BC89=1,Skills!$G$20=1),Skills!$B$10&amp;", ","")&amp;IF(AND(BD89=1,Skills!$H$20=1),Skills!$B$11&amp;", ","")&amp;IF(AND(BE89=1,Skills!$I$20=1),Skills!$B$12&amp;", ","")&amp;IF(AND(BF89=1,Skills!$J$20=1),Skills!$B$13&amp;", ","")&amp;IF(AND(BG89=1,Skills!$K$20=1),Skills!$B$14&amp;", ","")&amp;IF(AND(BH89=1,Skills!$L$20=1),Skills!$B$15&amp;", ","")&amp;IF(AND(BI89=1,Skills!$M$20=1),Skills!$B$16&amp;", ",""),LEN(IF(AND(AX89=1,Skills!$B$20=1),Skills!$B$5&amp;", ","")&amp;IF(AND(AY89=1,Skills!$C$20=1),Skills!$B$6&amp;", ","")&amp;IF(AND(AZ89=1,Skills!$D$20=1),Skills!$B$7&amp;", ","")&amp;IF(AND(BA89=1,Skills!$E$20=1),Skills!$B$8&amp;", ","")&amp;IF(AND(BB89=1,Skills!$F$20=1),Skills!$B$9&amp;", ","")&amp;IF(AND(BC89=1,Skills!$G$20=1),Skills!$B$10&amp;", ","")&amp;IF(AND(BD89=1,Skills!$H$20=1),Skills!$B$11&amp;", ","")&amp;IF(AND(BE89=1,Skills!$I$20=1),Skills!$B$12&amp;", ","")&amp;IF(AND(BF89=1,Skills!$J$20=1),Skills!$B$13&amp;", ","")&amp;IF(AND(BG89=1,Skills!$K$20=1),Skills!$B$14&amp;", ","")&amp;IF(AND(BH89=1,Skills!$L$20=1),Skills!$B$15&amp;", ","")&amp;IF(AND(BI89=1,Skills!$M$20=1),Skills!$B$16&amp;", ",""))-2)))</f>
        <v/>
      </c>
    </row>
    <row r="90">
      <c r="AD90" s="20" t="n"/>
      <c r="AE90" s="20" t="n"/>
      <c r="AF90" s="20" t="n"/>
      <c r="AG90" s="20" t="n"/>
      <c r="AH90" s="20" t="n"/>
      <c r="AI90" s="20" t="n"/>
      <c r="AJ90" s="20" t="n"/>
      <c r="AK90" s="20" t="n"/>
      <c r="AL90" s="20" t="n"/>
      <c r="AM90" s="20" t="n"/>
      <c r="AN90" s="20" t="n"/>
      <c r="AO90" s="20" t="n"/>
      <c r="AP90" s="20" t="n"/>
      <c r="AR90" s="31">
        <f>IF(IFERROR(TRIM(INDEX($A90:$AB90,MATCH(Lists!$B$5,$A$1:$AB$1,0))&amp;""),"")&lt;&gt;"",IFERROR(TRIM(INDEX($A90:$AB90,MATCH(Lists!$B$5,$A$1:$AB$1,0))&amp;""),""),IFERROR(TRIM(INDEX($A90:$AB90,MATCH(Lists!$B$3,$A$1:$AB$1,0))&amp;""),""))</f>
        <v/>
      </c>
      <c r="AS90" s="31">
        <f>IF(AR90="","",IF(IFERROR(TRIM(INDEX($A90:$AB90,MATCH(Lists!$B$5,$A$1:$AB$1,0))&amp;""),"")&lt;&gt;"","Nominated","Applied"))</f>
        <v/>
      </c>
      <c r="AT90" s="31">
        <f>IF(AR90="","",IF(IFERROR(TRIM(INDEX($A90:$AB90,MATCH(Lists!$B$5,$A$1:$AB$1,0))&amp;""),"")&lt;&gt;"",IFERROR(TRIM(INDEX($A90:$AB90,MATCH(Lists!$B$6,$A$1:$AB$1,0))&amp;""),""),IFERROR(TRIM(INDEX($A90:$AB90,MATCH(Lists!$B$4,$A$1:$AB$1,0))&amp;""),"")))</f>
        <v/>
      </c>
      <c r="AU90" s="31">
        <f>IF(AR90="","",IFERROR(TRIM(INDEX($A90:$AB90,MATCH(Lists!$B$7,$A$1:$AB$1,0))&amp;""),""))</f>
        <v/>
      </c>
      <c r="AV90" s="31">
        <f>IF(AR90="","",IFERROR(TRIM(INDEX($A90:$AB90,MATCH(Lists!$B$9,$A$1:$AB$1,0))&amp;""),""))</f>
        <v/>
      </c>
      <c r="AW90" s="31">
        <f>IF(AR90="","",IFERROR(TRIM(INDEX($A90:$AB90,MATCH(Lists!$B$8,$A$1:$AB$1,0))&amp;""),""))</f>
        <v/>
      </c>
      <c r="AX90" s="23">
        <f>IF(AR90="","",IF(OR(TRIM(AE90&amp;"")&lt;&gt;"",AND(Skills!$B$5&lt;&gt;"",ISNUMBER(SEARCH(Skills!$B$5,AU90)))),1,0))</f>
        <v/>
      </c>
      <c r="AY90" s="23">
        <f>IF(AR90="","",IF(OR(TRIM(AF90&amp;"")&lt;&gt;"",AND(Skills!$B$6&lt;&gt;"",ISNUMBER(SEARCH(Skills!$B$6,AU90)))),1,0))</f>
        <v/>
      </c>
      <c r="AZ90" s="23">
        <f>IF(AR90="","",IF(OR(TRIM(AG90&amp;"")&lt;&gt;"",AND(Skills!$B$7&lt;&gt;"",ISNUMBER(SEARCH(Skills!$B$7,AU90)))),1,0))</f>
        <v/>
      </c>
      <c r="BA90" s="23">
        <f>IF(AR90="","",IF(OR(TRIM(AH90&amp;"")&lt;&gt;"",AND(Skills!$B$8&lt;&gt;"",ISNUMBER(SEARCH(Skills!$B$8,AU90)))),1,0))</f>
        <v/>
      </c>
      <c r="BB90" s="23">
        <f>IF(AR90="","",IF(OR(TRIM(AI90&amp;"")&lt;&gt;"",AND(Skills!$B$9&lt;&gt;"",ISNUMBER(SEARCH(Skills!$B$9,AU90)))),1,0))</f>
        <v/>
      </c>
      <c r="BC90" s="23">
        <f>IF(AR90="","",IF(OR(TRIM(AJ90&amp;"")&lt;&gt;"",AND(Skills!$B$10&lt;&gt;"",ISNUMBER(SEARCH(Skills!$B$10,AU90)))),1,0))</f>
        <v/>
      </c>
      <c r="BD90" s="23">
        <f>IF(AR90="","",IF(OR(TRIM(AK90&amp;"")&lt;&gt;"",AND(Skills!$B$11&lt;&gt;"",ISNUMBER(SEARCH(Skills!$B$11,AU90)))),1,0))</f>
        <v/>
      </c>
      <c r="BE90" s="23">
        <f>IF(AR90="","",IF(OR(TRIM(AL90&amp;"")&lt;&gt;"",AND(Skills!$B$12&lt;&gt;"",ISNUMBER(SEARCH(Skills!$B$12,AU90)))),1,0))</f>
        <v/>
      </c>
      <c r="BF90" s="23">
        <f>IF(AR90="","",IF(OR(TRIM(AM90&amp;"")&lt;&gt;"",AND(Skills!$B$13&lt;&gt;"",ISNUMBER(SEARCH(Skills!$B$13,AU90)))),1,0))</f>
        <v/>
      </c>
      <c r="BG90" s="23">
        <f>IF(AR90="","",IF(OR(TRIM(AN90&amp;"")&lt;&gt;"",AND(Skills!$B$14&lt;&gt;"",ISNUMBER(SEARCH(Skills!$B$14,AU90)))),1,0))</f>
        <v/>
      </c>
      <c r="BH90" s="23">
        <f>IF(AR90="","",IF(OR(TRIM(AO90&amp;"")&lt;&gt;"",AND(Skills!$B$15&lt;&gt;"",ISNUMBER(SEARCH(Skills!$B$15,AU90)))),1,0))</f>
        <v/>
      </c>
      <c r="BI90" s="23">
        <f>IF(AR90="","",IF(OR(TRIM(AP90&amp;"")&lt;&gt;"",AND(Skills!$B$16&lt;&gt;"",ISNUMBER(SEARCH(Skills!$B$16,AU90)))),1,0))</f>
        <v/>
      </c>
      <c r="BJ90" s="23">
        <f>IF(AR90="","",SUMPRODUCT($AX90:$BI90,Skills!$B$20:$M$20))</f>
        <v/>
      </c>
      <c r="BK90" s="23">
        <f>IF(AR90="","",BJ90*100000+(100000-ROW()))</f>
        <v/>
      </c>
      <c r="BL90" s="31">
        <f>IF(AR90="","",IF((IF(AND(AX90=1,Skills!$B$20=1),Skills!$B$5&amp;", ","")&amp;IF(AND(AY90=1,Skills!$C$20=1),Skills!$B$6&amp;", ","")&amp;IF(AND(AZ90=1,Skills!$D$20=1),Skills!$B$7&amp;", ","")&amp;IF(AND(BA90=1,Skills!$E$20=1),Skills!$B$8&amp;", ","")&amp;IF(AND(BB90=1,Skills!$F$20=1),Skills!$B$9&amp;", ","")&amp;IF(AND(BC90=1,Skills!$G$20=1),Skills!$B$10&amp;", ","")&amp;IF(AND(BD90=1,Skills!$H$20=1),Skills!$B$11&amp;", ","")&amp;IF(AND(BE90=1,Skills!$I$20=1),Skills!$B$12&amp;", ","")&amp;IF(AND(BF90=1,Skills!$J$20=1),Skills!$B$13&amp;", ","")&amp;IF(AND(BG90=1,Skills!$K$20=1),Skills!$B$14&amp;", ","")&amp;IF(AND(BH90=1,Skills!$L$20=1),Skills!$B$15&amp;", ","")&amp;IF(AND(BI90=1,Skills!$M$20=1),Skills!$B$16&amp;", ",""))="","",LEFT(IF(AND(AX90=1,Skills!$B$20=1),Skills!$B$5&amp;", ","")&amp;IF(AND(AY90=1,Skills!$C$20=1),Skills!$B$6&amp;", ","")&amp;IF(AND(AZ90=1,Skills!$D$20=1),Skills!$B$7&amp;", ","")&amp;IF(AND(BA90=1,Skills!$E$20=1),Skills!$B$8&amp;", ","")&amp;IF(AND(BB90=1,Skills!$F$20=1),Skills!$B$9&amp;", ","")&amp;IF(AND(BC90=1,Skills!$G$20=1),Skills!$B$10&amp;", ","")&amp;IF(AND(BD90=1,Skills!$H$20=1),Skills!$B$11&amp;", ","")&amp;IF(AND(BE90=1,Skills!$I$20=1),Skills!$B$12&amp;", ","")&amp;IF(AND(BF90=1,Skills!$J$20=1),Skills!$B$13&amp;", ","")&amp;IF(AND(BG90=1,Skills!$K$20=1),Skills!$B$14&amp;", ","")&amp;IF(AND(BH90=1,Skills!$L$20=1),Skills!$B$15&amp;", ","")&amp;IF(AND(BI90=1,Skills!$M$20=1),Skills!$B$16&amp;", ",""),LEN(IF(AND(AX90=1,Skills!$B$20=1),Skills!$B$5&amp;", ","")&amp;IF(AND(AY90=1,Skills!$C$20=1),Skills!$B$6&amp;", ","")&amp;IF(AND(AZ90=1,Skills!$D$20=1),Skills!$B$7&amp;", ","")&amp;IF(AND(BA90=1,Skills!$E$20=1),Skills!$B$8&amp;", ","")&amp;IF(AND(BB90=1,Skills!$F$20=1),Skills!$B$9&amp;", ","")&amp;IF(AND(BC90=1,Skills!$G$20=1),Skills!$B$10&amp;", ","")&amp;IF(AND(BD90=1,Skills!$H$20=1),Skills!$B$11&amp;", ","")&amp;IF(AND(BE90=1,Skills!$I$20=1),Skills!$B$12&amp;", ","")&amp;IF(AND(BF90=1,Skills!$J$20=1),Skills!$B$13&amp;", ","")&amp;IF(AND(BG90=1,Skills!$K$20=1),Skills!$B$14&amp;", ","")&amp;IF(AND(BH90=1,Skills!$L$20=1),Skills!$B$15&amp;", ","")&amp;IF(AND(BI90=1,Skills!$M$20=1),Skills!$B$16&amp;", ",""))-2)))</f>
        <v/>
      </c>
    </row>
    <row r="91">
      <c r="AD91" s="20" t="n"/>
      <c r="AE91" s="20" t="n"/>
      <c r="AF91" s="20" t="n"/>
      <c r="AG91" s="20" t="n"/>
      <c r="AH91" s="20" t="n"/>
      <c r="AI91" s="20" t="n"/>
      <c r="AJ91" s="20" t="n"/>
      <c r="AK91" s="20" t="n"/>
      <c r="AL91" s="20" t="n"/>
      <c r="AM91" s="20" t="n"/>
      <c r="AN91" s="20" t="n"/>
      <c r="AO91" s="20" t="n"/>
      <c r="AP91" s="20" t="n"/>
      <c r="AR91" s="31">
        <f>IF(IFERROR(TRIM(INDEX($A91:$AB91,MATCH(Lists!$B$5,$A$1:$AB$1,0))&amp;""),"")&lt;&gt;"",IFERROR(TRIM(INDEX($A91:$AB91,MATCH(Lists!$B$5,$A$1:$AB$1,0))&amp;""),""),IFERROR(TRIM(INDEX($A91:$AB91,MATCH(Lists!$B$3,$A$1:$AB$1,0))&amp;""),""))</f>
        <v/>
      </c>
      <c r="AS91" s="31">
        <f>IF(AR91="","",IF(IFERROR(TRIM(INDEX($A91:$AB91,MATCH(Lists!$B$5,$A$1:$AB$1,0))&amp;""),"")&lt;&gt;"","Nominated","Applied"))</f>
        <v/>
      </c>
      <c r="AT91" s="31">
        <f>IF(AR91="","",IF(IFERROR(TRIM(INDEX($A91:$AB91,MATCH(Lists!$B$5,$A$1:$AB$1,0))&amp;""),"")&lt;&gt;"",IFERROR(TRIM(INDEX($A91:$AB91,MATCH(Lists!$B$6,$A$1:$AB$1,0))&amp;""),""),IFERROR(TRIM(INDEX($A91:$AB91,MATCH(Lists!$B$4,$A$1:$AB$1,0))&amp;""),"")))</f>
        <v/>
      </c>
      <c r="AU91" s="31">
        <f>IF(AR91="","",IFERROR(TRIM(INDEX($A91:$AB91,MATCH(Lists!$B$7,$A$1:$AB$1,0))&amp;""),""))</f>
        <v/>
      </c>
      <c r="AV91" s="31">
        <f>IF(AR91="","",IFERROR(TRIM(INDEX($A91:$AB91,MATCH(Lists!$B$9,$A$1:$AB$1,0))&amp;""),""))</f>
        <v/>
      </c>
      <c r="AW91" s="31">
        <f>IF(AR91="","",IFERROR(TRIM(INDEX($A91:$AB91,MATCH(Lists!$B$8,$A$1:$AB$1,0))&amp;""),""))</f>
        <v/>
      </c>
      <c r="AX91" s="23">
        <f>IF(AR91="","",IF(OR(TRIM(AE91&amp;"")&lt;&gt;"",AND(Skills!$B$5&lt;&gt;"",ISNUMBER(SEARCH(Skills!$B$5,AU91)))),1,0))</f>
        <v/>
      </c>
      <c r="AY91" s="23">
        <f>IF(AR91="","",IF(OR(TRIM(AF91&amp;"")&lt;&gt;"",AND(Skills!$B$6&lt;&gt;"",ISNUMBER(SEARCH(Skills!$B$6,AU91)))),1,0))</f>
        <v/>
      </c>
      <c r="AZ91" s="23">
        <f>IF(AR91="","",IF(OR(TRIM(AG91&amp;"")&lt;&gt;"",AND(Skills!$B$7&lt;&gt;"",ISNUMBER(SEARCH(Skills!$B$7,AU91)))),1,0))</f>
        <v/>
      </c>
      <c r="BA91" s="23">
        <f>IF(AR91="","",IF(OR(TRIM(AH91&amp;"")&lt;&gt;"",AND(Skills!$B$8&lt;&gt;"",ISNUMBER(SEARCH(Skills!$B$8,AU91)))),1,0))</f>
        <v/>
      </c>
      <c r="BB91" s="23">
        <f>IF(AR91="","",IF(OR(TRIM(AI91&amp;"")&lt;&gt;"",AND(Skills!$B$9&lt;&gt;"",ISNUMBER(SEARCH(Skills!$B$9,AU91)))),1,0))</f>
        <v/>
      </c>
      <c r="BC91" s="23">
        <f>IF(AR91="","",IF(OR(TRIM(AJ91&amp;"")&lt;&gt;"",AND(Skills!$B$10&lt;&gt;"",ISNUMBER(SEARCH(Skills!$B$10,AU91)))),1,0))</f>
        <v/>
      </c>
      <c r="BD91" s="23">
        <f>IF(AR91="","",IF(OR(TRIM(AK91&amp;"")&lt;&gt;"",AND(Skills!$B$11&lt;&gt;"",ISNUMBER(SEARCH(Skills!$B$11,AU91)))),1,0))</f>
        <v/>
      </c>
      <c r="BE91" s="23">
        <f>IF(AR91="","",IF(OR(TRIM(AL91&amp;"")&lt;&gt;"",AND(Skills!$B$12&lt;&gt;"",ISNUMBER(SEARCH(Skills!$B$12,AU91)))),1,0))</f>
        <v/>
      </c>
      <c r="BF91" s="23">
        <f>IF(AR91="","",IF(OR(TRIM(AM91&amp;"")&lt;&gt;"",AND(Skills!$B$13&lt;&gt;"",ISNUMBER(SEARCH(Skills!$B$13,AU91)))),1,0))</f>
        <v/>
      </c>
      <c r="BG91" s="23">
        <f>IF(AR91="","",IF(OR(TRIM(AN91&amp;"")&lt;&gt;"",AND(Skills!$B$14&lt;&gt;"",ISNUMBER(SEARCH(Skills!$B$14,AU91)))),1,0))</f>
        <v/>
      </c>
      <c r="BH91" s="23">
        <f>IF(AR91="","",IF(OR(TRIM(AO91&amp;"")&lt;&gt;"",AND(Skills!$B$15&lt;&gt;"",ISNUMBER(SEARCH(Skills!$B$15,AU91)))),1,0))</f>
        <v/>
      </c>
      <c r="BI91" s="23">
        <f>IF(AR91="","",IF(OR(TRIM(AP91&amp;"")&lt;&gt;"",AND(Skills!$B$16&lt;&gt;"",ISNUMBER(SEARCH(Skills!$B$16,AU91)))),1,0))</f>
        <v/>
      </c>
      <c r="BJ91" s="23">
        <f>IF(AR91="","",SUMPRODUCT($AX91:$BI91,Skills!$B$20:$M$20))</f>
        <v/>
      </c>
      <c r="BK91" s="23">
        <f>IF(AR91="","",BJ91*100000+(100000-ROW()))</f>
        <v/>
      </c>
      <c r="BL91" s="31">
        <f>IF(AR91="","",IF((IF(AND(AX91=1,Skills!$B$20=1),Skills!$B$5&amp;", ","")&amp;IF(AND(AY91=1,Skills!$C$20=1),Skills!$B$6&amp;", ","")&amp;IF(AND(AZ91=1,Skills!$D$20=1),Skills!$B$7&amp;", ","")&amp;IF(AND(BA91=1,Skills!$E$20=1),Skills!$B$8&amp;", ","")&amp;IF(AND(BB91=1,Skills!$F$20=1),Skills!$B$9&amp;", ","")&amp;IF(AND(BC91=1,Skills!$G$20=1),Skills!$B$10&amp;", ","")&amp;IF(AND(BD91=1,Skills!$H$20=1),Skills!$B$11&amp;", ","")&amp;IF(AND(BE91=1,Skills!$I$20=1),Skills!$B$12&amp;", ","")&amp;IF(AND(BF91=1,Skills!$J$20=1),Skills!$B$13&amp;", ","")&amp;IF(AND(BG91=1,Skills!$K$20=1),Skills!$B$14&amp;", ","")&amp;IF(AND(BH91=1,Skills!$L$20=1),Skills!$B$15&amp;", ","")&amp;IF(AND(BI91=1,Skills!$M$20=1),Skills!$B$16&amp;", ",""))="","",LEFT(IF(AND(AX91=1,Skills!$B$20=1),Skills!$B$5&amp;", ","")&amp;IF(AND(AY91=1,Skills!$C$20=1),Skills!$B$6&amp;", ","")&amp;IF(AND(AZ91=1,Skills!$D$20=1),Skills!$B$7&amp;", ","")&amp;IF(AND(BA91=1,Skills!$E$20=1),Skills!$B$8&amp;", ","")&amp;IF(AND(BB91=1,Skills!$F$20=1),Skills!$B$9&amp;", ","")&amp;IF(AND(BC91=1,Skills!$G$20=1),Skills!$B$10&amp;", ","")&amp;IF(AND(BD91=1,Skills!$H$20=1),Skills!$B$11&amp;", ","")&amp;IF(AND(BE91=1,Skills!$I$20=1),Skills!$B$12&amp;", ","")&amp;IF(AND(BF91=1,Skills!$J$20=1),Skills!$B$13&amp;", ","")&amp;IF(AND(BG91=1,Skills!$K$20=1),Skills!$B$14&amp;", ","")&amp;IF(AND(BH91=1,Skills!$L$20=1),Skills!$B$15&amp;", ","")&amp;IF(AND(BI91=1,Skills!$M$20=1),Skills!$B$16&amp;", ",""),LEN(IF(AND(AX91=1,Skills!$B$20=1),Skills!$B$5&amp;", ","")&amp;IF(AND(AY91=1,Skills!$C$20=1),Skills!$B$6&amp;", ","")&amp;IF(AND(AZ91=1,Skills!$D$20=1),Skills!$B$7&amp;", ","")&amp;IF(AND(BA91=1,Skills!$E$20=1),Skills!$B$8&amp;", ","")&amp;IF(AND(BB91=1,Skills!$F$20=1),Skills!$B$9&amp;", ","")&amp;IF(AND(BC91=1,Skills!$G$20=1),Skills!$B$10&amp;", ","")&amp;IF(AND(BD91=1,Skills!$H$20=1),Skills!$B$11&amp;", ","")&amp;IF(AND(BE91=1,Skills!$I$20=1),Skills!$B$12&amp;", ","")&amp;IF(AND(BF91=1,Skills!$J$20=1),Skills!$B$13&amp;", ","")&amp;IF(AND(BG91=1,Skills!$K$20=1),Skills!$B$14&amp;", ","")&amp;IF(AND(BH91=1,Skills!$L$20=1),Skills!$B$15&amp;", ","")&amp;IF(AND(BI91=1,Skills!$M$20=1),Skills!$B$16&amp;", ",""))-2)))</f>
        <v/>
      </c>
    </row>
    <row r="92">
      <c r="AD92" s="20" t="n"/>
      <c r="AE92" s="20" t="n"/>
      <c r="AF92" s="20" t="n"/>
      <c r="AG92" s="20" t="n"/>
      <c r="AH92" s="20" t="n"/>
      <c r="AI92" s="20" t="n"/>
      <c r="AJ92" s="20" t="n"/>
      <c r="AK92" s="20" t="n"/>
      <c r="AL92" s="20" t="n"/>
      <c r="AM92" s="20" t="n"/>
      <c r="AN92" s="20" t="n"/>
      <c r="AO92" s="20" t="n"/>
      <c r="AP92" s="20" t="n"/>
      <c r="AR92" s="31">
        <f>IF(IFERROR(TRIM(INDEX($A92:$AB92,MATCH(Lists!$B$5,$A$1:$AB$1,0))&amp;""),"")&lt;&gt;"",IFERROR(TRIM(INDEX($A92:$AB92,MATCH(Lists!$B$5,$A$1:$AB$1,0))&amp;""),""),IFERROR(TRIM(INDEX($A92:$AB92,MATCH(Lists!$B$3,$A$1:$AB$1,0))&amp;""),""))</f>
        <v/>
      </c>
      <c r="AS92" s="31">
        <f>IF(AR92="","",IF(IFERROR(TRIM(INDEX($A92:$AB92,MATCH(Lists!$B$5,$A$1:$AB$1,0))&amp;""),"")&lt;&gt;"","Nominated","Applied"))</f>
        <v/>
      </c>
      <c r="AT92" s="31">
        <f>IF(AR92="","",IF(IFERROR(TRIM(INDEX($A92:$AB92,MATCH(Lists!$B$5,$A$1:$AB$1,0))&amp;""),"")&lt;&gt;"",IFERROR(TRIM(INDEX($A92:$AB92,MATCH(Lists!$B$6,$A$1:$AB$1,0))&amp;""),""),IFERROR(TRIM(INDEX($A92:$AB92,MATCH(Lists!$B$4,$A$1:$AB$1,0))&amp;""),"")))</f>
        <v/>
      </c>
      <c r="AU92" s="31">
        <f>IF(AR92="","",IFERROR(TRIM(INDEX($A92:$AB92,MATCH(Lists!$B$7,$A$1:$AB$1,0))&amp;""),""))</f>
        <v/>
      </c>
      <c r="AV92" s="31">
        <f>IF(AR92="","",IFERROR(TRIM(INDEX($A92:$AB92,MATCH(Lists!$B$9,$A$1:$AB$1,0))&amp;""),""))</f>
        <v/>
      </c>
      <c r="AW92" s="31">
        <f>IF(AR92="","",IFERROR(TRIM(INDEX($A92:$AB92,MATCH(Lists!$B$8,$A$1:$AB$1,0))&amp;""),""))</f>
        <v/>
      </c>
      <c r="AX92" s="23">
        <f>IF(AR92="","",IF(OR(TRIM(AE92&amp;"")&lt;&gt;"",AND(Skills!$B$5&lt;&gt;"",ISNUMBER(SEARCH(Skills!$B$5,AU92)))),1,0))</f>
        <v/>
      </c>
      <c r="AY92" s="23">
        <f>IF(AR92="","",IF(OR(TRIM(AF92&amp;"")&lt;&gt;"",AND(Skills!$B$6&lt;&gt;"",ISNUMBER(SEARCH(Skills!$B$6,AU92)))),1,0))</f>
        <v/>
      </c>
      <c r="AZ92" s="23">
        <f>IF(AR92="","",IF(OR(TRIM(AG92&amp;"")&lt;&gt;"",AND(Skills!$B$7&lt;&gt;"",ISNUMBER(SEARCH(Skills!$B$7,AU92)))),1,0))</f>
        <v/>
      </c>
      <c r="BA92" s="23">
        <f>IF(AR92="","",IF(OR(TRIM(AH92&amp;"")&lt;&gt;"",AND(Skills!$B$8&lt;&gt;"",ISNUMBER(SEARCH(Skills!$B$8,AU92)))),1,0))</f>
        <v/>
      </c>
      <c r="BB92" s="23">
        <f>IF(AR92="","",IF(OR(TRIM(AI92&amp;"")&lt;&gt;"",AND(Skills!$B$9&lt;&gt;"",ISNUMBER(SEARCH(Skills!$B$9,AU92)))),1,0))</f>
        <v/>
      </c>
      <c r="BC92" s="23">
        <f>IF(AR92="","",IF(OR(TRIM(AJ92&amp;"")&lt;&gt;"",AND(Skills!$B$10&lt;&gt;"",ISNUMBER(SEARCH(Skills!$B$10,AU92)))),1,0))</f>
        <v/>
      </c>
      <c r="BD92" s="23">
        <f>IF(AR92="","",IF(OR(TRIM(AK92&amp;"")&lt;&gt;"",AND(Skills!$B$11&lt;&gt;"",ISNUMBER(SEARCH(Skills!$B$11,AU92)))),1,0))</f>
        <v/>
      </c>
      <c r="BE92" s="23">
        <f>IF(AR92="","",IF(OR(TRIM(AL92&amp;"")&lt;&gt;"",AND(Skills!$B$12&lt;&gt;"",ISNUMBER(SEARCH(Skills!$B$12,AU92)))),1,0))</f>
        <v/>
      </c>
      <c r="BF92" s="23">
        <f>IF(AR92="","",IF(OR(TRIM(AM92&amp;"")&lt;&gt;"",AND(Skills!$B$13&lt;&gt;"",ISNUMBER(SEARCH(Skills!$B$13,AU92)))),1,0))</f>
        <v/>
      </c>
      <c r="BG92" s="23">
        <f>IF(AR92="","",IF(OR(TRIM(AN92&amp;"")&lt;&gt;"",AND(Skills!$B$14&lt;&gt;"",ISNUMBER(SEARCH(Skills!$B$14,AU92)))),1,0))</f>
        <v/>
      </c>
      <c r="BH92" s="23">
        <f>IF(AR92="","",IF(OR(TRIM(AO92&amp;"")&lt;&gt;"",AND(Skills!$B$15&lt;&gt;"",ISNUMBER(SEARCH(Skills!$B$15,AU92)))),1,0))</f>
        <v/>
      </c>
      <c r="BI92" s="23">
        <f>IF(AR92="","",IF(OR(TRIM(AP92&amp;"")&lt;&gt;"",AND(Skills!$B$16&lt;&gt;"",ISNUMBER(SEARCH(Skills!$B$16,AU92)))),1,0))</f>
        <v/>
      </c>
      <c r="BJ92" s="23">
        <f>IF(AR92="","",SUMPRODUCT($AX92:$BI92,Skills!$B$20:$M$20))</f>
        <v/>
      </c>
      <c r="BK92" s="23">
        <f>IF(AR92="","",BJ92*100000+(100000-ROW()))</f>
        <v/>
      </c>
      <c r="BL92" s="31">
        <f>IF(AR92="","",IF((IF(AND(AX92=1,Skills!$B$20=1),Skills!$B$5&amp;", ","")&amp;IF(AND(AY92=1,Skills!$C$20=1),Skills!$B$6&amp;", ","")&amp;IF(AND(AZ92=1,Skills!$D$20=1),Skills!$B$7&amp;", ","")&amp;IF(AND(BA92=1,Skills!$E$20=1),Skills!$B$8&amp;", ","")&amp;IF(AND(BB92=1,Skills!$F$20=1),Skills!$B$9&amp;", ","")&amp;IF(AND(BC92=1,Skills!$G$20=1),Skills!$B$10&amp;", ","")&amp;IF(AND(BD92=1,Skills!$H$20=1),Skills!$B$11&amp;", ","")&amp;IF(AND(BE92=1,Skills!$I$20=1),Skills!$B$12&amp;", ","")&amp;IF(AND(BF92=1,Skills!$J$20=1),Skills!$B$13&amp;", ","")&amp;IF(AND(BG92=1,Skills!$K$20=1),Skills!$B$14&amp;", ","")&amp;IF(AND(BH92=1,Skills!$L$20=1),Skills!$B$15&amp;", ","")&amp;IF(AND(BI92=1,Skills!$M$20=1),Skills!$B$16&amp;", ",""))="","",LEFT(IF(AND(AX92=1,Skills!$B$20=1),Skills!$B$5&amp;", ","")&amp;IF(AND(AY92=1,Skills!$C$20=1),Skills!$B$6&amp;", ","")&amp;IF(AND(AZ92=1,Skills!$D$20=1),Skills!$B$7&amp;", ","")&amp;IF(AND(BA92=1,Skills!$E$20=1),Skills!$B$8&amp;", ","")&amp;IF(AND(BB92=1,Skills!$F$20=1),Skills!$B$9&amp;", ","")&amp;IF(AND(BC92=1,Skills!$G$20=1),Skills!$B$10&amp;", ","")&amp;IF(AND(BD92=1,Skills!$H$20=1),Skills!$B$11&amp;", ","")&amp;IF(AND(BE92=1,Skills!$I$20=1),Skills!$B$12&amp;", ","")&amp;IF(AND(BF92=1,Skills!$J$20=1),Skills!$B$13&amp;", ","")&amp;IF(AND(BG92=1,Skills!$K$20=1),Skills!$B$14&amp;", ","")&amp;IF(AND(BH92=1,Skills!$L$20=1),Skills!$B$15&amp;", ","")&amp;IF(AND(BI92=1,Skills!$M$20=1),Skills!$B$16&amp;", ",""),LEN(IF(AND(AX92=1,Skills!$B$20=1),Skills!$B$5&amp;", ","")&amp;IF(AND(AY92=1,Skills!$C$20=1),Skills!$B$6&amp;", ","")&amp;IF(AND(AZ92=1,Skills!$D$20=1),Skills!$B$7&amp;", ","")&amp;IF(AND(BA92=1,Skills!$E$20=1),Skills!$B$8&amp;", ","")&amp;IF(AND(BB92=1,Skills!$F$20=1),Skills!$B$9&amp;", ","")&amp;IF(AND(BC92=1,Skills!$G$20=1),Skills!$B$10&amp;", ","")&amp;IF(AND(BD92=1,Skills!$H$20=1),Skills!$B$11&amp;", ","")&amp;IF(AND(BE92=1,Skills!$I$20=1),Skills!$B$12&amp;", ","")&amp;IF(AND(BF92=1,Skills!$J$20=1),Skills!$B$13&amp;", ","")&amp;IF(AND(BG92=1,Skills!$K$20=1),Skills!$B$14&amp;", ","")&amp;IF(AND(BH92=1,Skills!$L$20=1),Skills!$B$15&amp;", ","")&amp;IF(AND(BI92=1,Skills!$M$20=1),Skills!$B$16&amp;", ",""))-2)))</f>
        <v/>
      </c>
    </row>
    <row r="93">
      <c r="AD93" s="20" t="n"/>
      <c r="AE93" s="20" t="n"/>
      <c r="AF93" s="20" t="n"/>
      <c r="AG93" s="20" t="n"/>
      <c r="AH93" s="20" t="n"/>
      <c r="AI93" s="20" t="n"/>
      <c r="AJ93" s="20" t="n"/>
      <c r="AK93" s="20" t="n"/>
      <c r="AL93" s="20" t="n"/>
      <c r="AM93" s="20" t="n"/>
      <c r="AN93" s="20" t="n"/>
      <c r="AO93" s="20" t="n"/>
      <c r="AP93" s="20" t="n"/>
      <c r="AR93" s="31">
        <f>IF(IFERROR(TRIM(INDEX($A93:$AB93,MATCH(Lists!$B$5,$A$1:$AB$1,0))&amp;""),"")&lt;&gt;"",IFERROR(TRIM(INDEX($A93:$AB93,MATCH(Lists!$B$5,$A$1:$AB$1,0))&amp;""),""),IFERROR(TRIM(INDEX($A93:$AB93,MATCH(Lists!$B$3,$A$1:$AB$1,0))&amp;""),""))</f>
        <v/>
      </c>
      <c r="AS93" s="31">
        <f>IF(AR93="","",IF(IFERROR(TRIM(INDEX($A93:$AB93,MATCH(Lists!$B$5,$A$1:$AB$1,0))&amp;""),"")&lt;&gt;"","Nominated","Applied"))</f>
        <v/>
      </c>
      <c r="AT93" s="31">
        <f>IF(AR93="","",IF(IFERROR(TRIM(INDEX($A93:$AB93,MATCH(Lists!$B$5,$A$1:$AB$1,0))&amp;""),"")&lt;&gt;"",IFERROR(TRIM(INDEX($A93:$AB93,MATCH(Lists!$B$6,$A$1:$AB$1,0))&amp;""),""),IFERROR(TRIM(INDEX($A93:$AB93,MATCH(Lists!$B$4,$A$1:$AB$1,0))&amp;""),"")))</f>
        <v/>
      </c>
      <c r="AU93" s="31">
        <f>IF(AR93="","",IFERROR(TRIM(INDEX($A93:$AB93,MATCH(Lists!$B$7,$A$1:$AB$1,0))&amp;""),""))</f>
        <v/>
      </c>
      <c r="AV93" s="31">
        <f>IF(AR93="","",IFERROR(TRIM(INDEX($A93:$AB93,MATCH(Lists!$B$9,$A$1:$AB$1,0))&amp;""),""))</f>
        <v/>
      </c>
      <c r="AW93" s="31">
        <f>IF(AR93="","",IFERROR(TRIM(INDEX($A93:$AB93,MATCH(Lists!$B$8,$A$1:$AB$1,0))&amp;""),""))</f>
        <v/>
      </c>
      <c r="AX93" s="23">
        <f>IF(AR93="","",IF(OR(TRIM(AE93&amp;"")&lt;&gt;"",AND(Skills!$B$5&lt;&gt;"",ISNUMBER(SEARCH(Skills!$B$5,AU93)))),1,0))</f>
        <v/>
      </c>
      <c r="AY93" s="23">
        <f>IF(AR93="","",IF(OR(TRIM(AF93&amp;"")&lt;&gt;"",AND(Skills!$B$6&lt;&gt;"",ISNUMBER(SEARCH(Skills!$B$6,AU93)))),1,0))</f>
        <v/>
      </c>
      <c r="AZ93" s="23">
        <f>IF(AR93="","",IF(OR(TRIM(AG93&amp;"")&lt;&gt;"",AND(Skills!$B$7&lt;&gt;"",ISNUMBER(SEARCH(Skills!$B$7,AU93)))),1,0))</f>
        <v/>
      </c>
      <c r="BA93" s="23">
        <f>IF(AR93="","",IF(OR(TRIM(AH93&amp;"")&lt;&gt;"",AND(Skills!$B$8&lt;&gt;"",ISNUMBER(SEARCH(Skills!$B$8,AU93)))),1,0))</f>
        <v/>
      </c>
      <c r="BB93" s="23">
        <f>IF(AR93="","",IF(OR(TRIM(AI93&amp;"")&lt;&gt;"",AND(Skills!$B$9&lt;&gt;"",ISNUMBER(SEARCH(Skills!$B$9,AU93)))),1,0))</f>
        <v/>
      </c>
      <c r="BC93" s="23">
        <f>IF(AR93="","",IF(OR(TRIM(AJ93&amp;"")&lt;&gt;"",AND(Skills!$B$10&lt;&gt;"",ISNUMBER(SEARCH(Skills!$B$10,AU93)))),1,0))</f>
        <v/>
      </c>
      <c r="BD93" s="23">
        <f>IF(AR93="","",IF(OR(TRIM(AK93&amp;"")&lt;&gt;"",AND(Skills!$B$11&lt;&gt;"",ISNUMBER(SEARCH(Skills!$B$11,AU93)))),1,0))</f>
        <v/>
      </c>
      <c r="BE93" s="23">
        <f>IF(AR93="","",IF(OR(TRIM(AL93&amp;"")&lt;&gt;"",AND(Skills!$B$12&lt;&gt;"",ISNUMBER(SEARCH(Skills!$B$12,AU93)))),1,0))</f>
        <v/>
      </c>
      <c r="BF93" s="23">
        <f>IF(AR93="","",IF(OR(TRIM(AM93&amp;"")&lt;&gt;"",AND(Skills!$B$13&lt;&gt;"",ISNUMBER(SEARCH(Skills!$B$13,AU93)))),1,0))</f>
        <v/>
      </c>
      <c r="BG93" s="23">
        <f>IF(AR93="","",IF(OR(TRIM(AN93&amp;"")&lt;&gt;"",AND(Skills!$B$14&lt;&gt;"",ISNUMBER(SEARCH(Skills!$B$14,AU93)))),1,0))</f>
        <v/>
      </c>
      <c r="BH93" s="23">
        <f>IF(AR93="","",IF(OR(TRIM(AO93&amp;"")&lt;&gt;"",AND(Skills!$B$15&lt;&gt;"",ISNUMBER(SEARCH(Skills!$B$15,AU93)))),1,0))</f>
        <v/>
      </c>
      <c r="BI93" s="23">
        <f>IF(AR93="","",IF(OR(TRIM(AP93&amp;"")&lt;&gt;"",AND(Skills!$B$16&lt;&gt;"",ISNUMBER(SEARCH(Skills!$B$16,AU93)))),1,0))</f>
        <v/>
      </c>
      <c r="BJ93" s="23">
        <f>IF(AR93="","",SUMPRODUCT($AX93:$BI93,Skills!$B$20:$M$20))</f>
        <v/>
      </c>
      <c r="BK93" s="23">
        <f>IF(AR93="","",BJ93*100000+(100000-ROW()))</f>
        <v/>
      </c>
      <c r="BL93" s="31">
        <f>IF(AR93="","",IF((IF(AND(AX93=1,Skills!$B$20=1),Skills!$B$5&amp;", ","")&amp;IF(AND(AY93=1,Skills!$C$20=1),Skills!$B$6&amp;", ","")&amp;IF(AND(AZ93=1,Skills!$D$20=1),Skills!$B$7&amp;", ","")&amp;IF(AND(BA93=1,Skills!$E$20=1),Skills!$B$8&amp;", ","")&amp;IF(AND(BB93=1,Skills!$F$20=1),Skills!$B$9&amp;", ","")&amp;IF(AND(BC93=1,Skills!$G$20=1),Skills!$B$10&amp;", ","")&amp;IF(AND(BD93=1,Skills!$H$20=1),Skills!$B$11&amp;", ","")&amp;IF(AND(BE93=1,Skills!$I$20=1),Skills!$B$12&amp;", ","")&amp;IF(AND(BF93=1,Skills!$J$20=1),Skills!$B$13&amp;", ","")&amp;IF(AND(BG93=1,Skills!$K$20=1),Skills!$B$14&amp;", ","")&amp;IF(AND(BH93=1,Skills!$L$20=1),Skills!$B$15&amp;", ","")&amp;IF(AND(BI93=1,Skills!$M$20=1),Skills!$B$16&amp;", ",""))="","",LEFT(IF(AND(AX93=1,Skills!$B$20=1),Skills!$B$5&amp;", ","")&amp;IF(AND(AY93=1,Skills!$C$20=1),Skills!$B$6&amp;", ","")&amp;IF(AND(AZ93=1,Skills!$D$20=1),Skills!$B$7&amp;", ","")&amp;IF(AND(BA93=1,Skills!$E$20=1),Skills!$B$8&amp;", ","")&amp;IF(AND(BB93=1,Skills!$F$20=1),Skills!$B$9&amp;", ","")&amp;IF(AND(BC93=1,Skills!$G$20=1),Skills!$B$10&amp;", ","")&amp;IF(AND(BD93=1,Skills!$H$20=1),Skills!$B$11&amp;", ","")&amp;IF(AND(BE93=1,Skills!$I$20=1),Skills!$B$12&amp;", ","")&amp;IF(AND(BF93=1,Skills!$J$20=1),Skills!$B$13&amp;", ","")&amp;IF(AND(BG93=1,Skills!$K$20=1),Skills!$B$14&amp;", ","")&amp;IF(AND(BH93=1,Skills!$L$20=1),Skills!$B$15&amp;", ","")&amp;IF(AND(BI93=1,Skills!$M$20=1),Skills!$B$16&amp;", ",""),LEN(IF(AND(AX93=1,Skills!$B$20=1),Skills!$B$5&amp;", ","")&amp;IF(AND(AY93=1,Skills!$C$20=1),Skills!$B$6&amp;", ","")&amp;IF(AND(AZ93=1,Skills!$D$20=1),Skills!$B$7&amp;", ","")&amp;IF(AND(BA93=1,Skills!$E$20=1),Skills!$B$8&amp;", ","")&amp;IF(AND(BB93=1,Skills!$F$20=1),Skills!$B$9&amp;", ","")&amp;IF(AND(BC93=1,Skills!$G$20=1),Skills!$B$10&amp;", ","")&amp;IF(AND(BD93=1,Skills!$H$20=1),Skills!$B$11&amp;", ","")&amp;IF(AND(BE93=1,Skills!$I$20=1),Skills!$B$12&amp;", ","")&amp;IF(AND(BF93=1,Skills!$J$20=1),Skills!$B$13&amp;", ","")&amp;IF(AND(BG93=1,Skills!$K$20=1),Skills!$B$14&amp;", ","")&amp;IF(AND(BH93=1,Skills!$L$20=1),Skills!$B$15&amp;", ","")&amp;IF(AND(BI93=1,Skills!$M$20=1),Skills!$B$16&amp;", ",""))-2)))</f>
        <v/>
      </c>
    </row>
    <row r="94">
      <c r="AD94" s="20" t="n"/>
      <c r="AE94" s="20" t="n"/>
      <c r="AF94" s="20" t="n"/>
      <c r="AG94" s="20" t="n"/>
      <c r="AH94" s="20" t="n"/>
      <c r="AI94" s="20" t="n"/>
      <c r="AJ94" s="20" t="n"/>
      <c r="AK94" s="20" t="n"/>
      <c r="AL94" s="20" t="n"/>
      <c r="AM94" s="20" t="n"/>
      <c r="AN94" s="20" t="n"/>
      <c r="AO94" s="20" t="n"/>
      <c r="AP94" s="20" t="n"/>
      <c r="AR94" s="31">
        <f>IF(IFERROR(TRIM(INDEX($A94:$AB94,MATCH(Lists!$B$5,$A$1:$AB$1,0))&amp;""),"")&lt;&gt;"",IFERROR(TRIM(INDEX($A94:$AB94,MATCH(Lists!$B$5,$A$1:$AB$1,0))&amp;""),""),IFERROR(TRIM(INDEX($A94:$AB94,MATCH(Lists!$B$3,$A$1:$AB$1,0))&amp;""),""))</f>
        <v/>
      </c>
      <c r="AS94" s="31">
        <f>IF(AR94="","",IF(IFERROR(TRIM(INDEX($A94:$AB94,MATCH(Lists!$B$5,$A$1:$AB$1,0))&amp;""),"")&lt;&gt;"","Nominated","Applied"))</f>
        <v/>
      </c>
      <c r="AT94" s="31">
        <f>IF(AR94="","",IF(IFERROR(TRIM(INDEX($A94:$AB94,MATCH(Lists!$B$5,$A$1:$AB$1,0))&amp;""),"")&lt;&gt;"",IFERROR(TRIM(INDEX($A94:$AB94,MATCH(Lists!$B$6,$A$1:$AB$1,0))&amp;""),""),IFERROR(TRIM(INDEX($A94:$AB94,MATCH(Lists!$B$4,$A$1:$AB$1,0))&amp;""),"")))</f>
        <v/>
      </c>
      <c r="AU94" s="31">
        <f>IF(AR94="","",IFERROR(TRIM(INDEX($A94:$AB94,MATCH(Lists!$B$7,$A$1:$AB$1,0))&amp;""),""))</f>
        <v/>
      </c>
      <c r="AV94" s="31">
        <f>IF(AR94="","",IFERROR(TRIM(INDEX($A94:$AB94,MATCH(Lists!$B$9,$A$1:$AB$1,0))&amp;""),""))</f>
        <v/>
      </c>
      <c r="AW94" s="31">
        <f>IF(AR94="","",IFERROR(TRIM(INDEX($A94:$AB94,MATCH(Lists!$B$8,$A$1:$AB$1,0))&amp;""),""))</f>
        <v/>
      </c>
      <c r="AX94" s="23">
        <f>IF(AR94="","",IF(OR(TRIM(AE94&amp;"")&lt;&gt;"",AND(Skills!$B$5&lt;&gt;"",ISNUMBER(SEARCH(Skills!$B$5,AU94)))),1,0))</f>
        <v/>
      </c>
      <c r="AY94" s="23">
        <f>IF(AR94="","",IF(OR(TRIM(AF94&amp;"")&lt;&gt;"",AND(Skills!$B$6&lt;&gt;"",ISNUMBER(SEARCH(Skills!$B$6,AU94)))),1,0))</f>
        <v/>
      </c>
      <c r="AZ94" s="23">
        <f>IF(AR94="","",IF(OR(TRIM(AG94&amp;"")&lt;&gt;"",AND(Skills!$B$7&lt;&gt;"",ISNUMBER(SEARCH(Skills!$B$7,AU94)))),1,0))</f>
        <v/>
      </c>
      <c r="BA94" s="23">
        <f>IF(AR94="","",IF(OR(TRIM(AH94&amp;"")&lt;&gt;"",AND(Skills!$B$8&lt;&gt;"",ISNUMBER(SEARCH(Skills!$B$8,AU94)))),1,0))</f>
        <v/>
      </c>
      <c r="BB94" s="23">
        <f>IF(AR94="","",IF(OR(TRIM(AI94&amp;"")&lt;&gt;"",AND(Skills!$B$9&lt;&gt;"",ISNUMBER(SEARCH(Skills!$B$9,AU94)))),1,0))</f>
        <v/>
      </c>
      <c r="BC94" s="23">
        <f>IF(AR94="","",IF(OR(TRIM(AJ94&amp;"")&lt;&gt;"",AND(Skills!$B$10&lt;&gt;"",ISNUMBER(SEARCH(Skills!$B$10,AU94)))),1,0))</f>
        <v/>
      </c>
      <c r="BD94" s="23">
        <f>IF(AR94="","",IF(OR(TRIM(AK94&amp;"")&lt;&gt;"",AND(Skills!$B$11&lt;&gt;"",ISNUMBER(SEARCH(Skills!$B$11,AU94)))),1,0))</f>
        <v/>
      </c>
      <c r="BE94" s="23">
        <f>IF(AR94="","",IF(OR(TRIM(AL94&amp;"")&lt;&gt;"",AND(Skills!$B$12&lt;&gt;"",ISNUMBER(SEARCH(Skills!$B$12,AU94)))),1,0))</f>
        <v/>
      </c>
      <c r="BF94" s="23">
        <f>IF(AR94="","",IF(OR(TRIM(AM94&amp;"")&lt;&gt;"",AND(Skills!$B$13&lt;&gt;"",ISNUMBER(SEARCH(Skills!$B$13,AU94)))),1,0))</f>
        <v/>
      </c>
      <c r="BG94" s="23">
        <f>IF(AR94="","",IF(OR(TRIM(AN94&amp;"")&lt;&gt;"",AND(Skills!$B$14&lt;&gt;"",ISNUMBER(SEARCH(Skills!$B$14,AU94)))),1,0))</f>
        <v/>
      </c>
      <c r="BH94" s="23">
        <f>IF(AR94="","",IF(OR(TRIM(AO94&amp;"")&lt;&gt;"",AND(Skills!$B$15&lt;&gt;"",ISNUMBER(SEARCH(Skills!$B$15,AU94)))),1,0))</f>
        <v/>
      </c>
      <c r="BI94" s="23">
        <f>IF(AR94="","",IF(OR(TRIM(AP94&amp;"")&lt;&gt;"",AND(Skills!$B$16&lt;&gt;"",ISNUMBER(SEARCH(Skills!$B$16,AU94)))),1,0))</f>
        <v/>
      </c>
      <c r="BJ94" s="23">
        <f>IF(AR94="","",SUMPRODUCT($AX94:$BI94,Skills!$B$20:$M$20))</f>
        <v/>
      </c>
      <c r="BK94" s="23">
        <f>IF(AR94="","",BJ94*100000+(100000-ROW()))</f>
        <v/>
      </c>
      <c r="BL94" s="31">
        <f>IF(AR94="","",IF((IF(AND(AX94=1,Skills!$B$20=1),Skills!$B$5&amp;", ","")&amp;IF(AND(AY94=1,Skills!$C$20=1),Skills!$B$6&amp;", ","")&amp;IF(AND(AZ94=1,Skills!$D$20=1),Skills!$B$7&amp;", ","")&amp;IF(AND(BA94=1,Skills!$E$20=1),Skills!$B$8&amp;", ","")&amp;IF(AND(BB94=1,Skills!$F$20=1),Skills!$B$9&amp;", ","")&amp;IF(AND(BC94=1,Skills!$G$20=1),Skills!$B$10&amp;", ","")&amp;IF(AND(BD94=1,Skills!$H$20=1),Skills!$B$11&amp;", ","")&amp;IF(AND(BE94=1,Skills!$I$20=1),Skills!$B$12&amp;", ","")&amp;IF(AND(BF94=1,Skills!$J$20=1),Skills!$B$13&amp;", ","")&amp;IF(AND(BG94=1,Skills!$K$20=1),Skills!$B$14&amp;", ","")&amp;IF(AND(BH94=1,Skills!$L$20=1),Skills!$B$15&amp;", ","")&amp;IF(AND(BI94=1,Skills!$M$20=1),Skills!$B$16&amp;", ",""))="","",LEFT(IF(AND(AX94=1,Skills!$B$20=1),Skills!$B$5&amp;", ","")&amp;IF(AND(AY94=1,Skills!$C$20=1),Skills!$B$6&amp;", ","")&amp;IF(AND(AZ94=1,Skills!$D$20=1),Skills!$B$7&amp;", ","")&amp;IF(AND(BA94=1,Skills!$E$20=1),Skills!$B$8&amp;", ","")&amp;IF(AND(BB94=1,Skills!$F$20=1),Skills!$B$9&amp;", ","")&amp;IF(AND(BC94=1,Skills!$G$20=1),Skills!$B$10&amp;", ","")&amp;IF(AND(BD94=1,Skills!$H$20=1),Skills!$B$11&amp;", ","")&amp;IF(AND(BE94=1,Skills!$I$20=1),Skills!$B$12&amp;", ","")&amp;IF(AND(BF94=1,Skills!$J$20=1),Skills!$B$13&amp;", ","")&amp;IF(AND(BG94=1,Skills!$K$20=1),Skills!$B$14&amp;", ","")&amp;IF(AND(BH94=1,Skills!$L$20=1),Skills!$B$15&amp;", ","")&amp;IF(AND(BI94=1,Skills!$M$20=1),Skills!$B$16&amp;", ",""),LEN(IF(AND(AX94=1,Skills!$B$20=1),Skills!$B$5&amp;", ","")&amp;IF(AND(AY94=1,Skills!$C$20=1),Skills!$B$6&amp;", ","")&amp;IF(AND(AZ94=1,Skills!$D$20=1),Skills!$B$7&amp;", ","")&amp;IF(AND(BA94=1,Skills!$E$20=1),Skills!$B$8&amp;", ","")&amp;IF(AND(BB94=1,Skills!$F$20=1),Skills!$B$9&amp;", ","")&amp;IF(AND(BC94=1,Skills!$G$20=1),Skills!$B$10&amp;", ","")&amp;IF(AND(BD94=1,Skills!$H$20=1),Skills!$B$11&amp;", ","")&amp;IF(AND(BE94=1,Skills!$I$20=1),Skills!$B$12&amp;", ","")&amp;IF(AND(BF94=1,Skills!$J$20=1),Skills!$B$13&amp;", ","")&amp;IF(AND(BG94=1,Skills!$K$20=1),Skills!$B$14&amp;", ","")&amp;IF(AND(BH94=1,Skills!$L$20=1),Skills!$B$15&amp;", ","")&amp;IF(AND(BI94=1,Skills!$M$20=1),Skills!$B$16&amp;", ",""))-2)))</f>
        <v/>
      </c>
    </row>
    <row r="95">
      <c r="AD95" s="20" t="n"/>
      <c r="AE95" s="20" t="n"/>
      <c r="AF95" s="20" t="n"/>
      <c r="AG95" s="20" t="n"/>
      <c r="AH95" s="20" t="n"/>
      <c r="AI95" s="20" t="n"/>
      <c r="AJ95" s="20" t="n"/>
      <c r="AK95" s="20" t="n"/>
      <c r="AL95" s="20" t="n"/>
      <c r="AM95" s="20" t="n"/>
      <c r="AN95" s="20" t="n"/>
      <c r="AO95" s="20" t="n"/>
      <c r="AP95" s="20" t="n"/>
      <c r="AR95" s="31">
        <f>IF(IFERROR(TRIM(INDEX($A95:$AB95,MATCH(Lists!$B$5,$A$1:$AB$1,0))&amp;""),"")&lt;&gt;"",IFERROR(TRIM(INDEX($A95:$AB95,MATCH(Lists!$B$5,$A$1:$AB$1,0))&amp;""),""),IFERROR(TRIM(INDEX($A95:$AB95,MATCH(Lists!$B$3,$A$1:$AB$1,0))&amp;""),""))</f>
        <v/>
      </c>
      <c r="AS95" s="31">
        <f>IF(AR95="","",IF(IFERROR(TRIM(INDEX($A95:$AB95,MATCH(Lists!$B$5,$A$1:$AB$1,0))&amp;""),"")&lt;&gt;"","Nominated","Applied"))</f>
        <v/>
      </c>
      <c r="AT95" s="31">
        <f>IF(AR95="","",IF(IFERROR(TRIM(INDEX($A95:$AB95,MATCH(Lists!$B$5,$A$1:$AB$1,0))&amp;""),"")&lt;&gt;"",IFERROR(TRIM(INDEX($A95:$AB95,MATCH(Lists!$B$6,$A$1:$AB$1,0))&amp;""),""),IFERROR(TRIM(INDEX($A95:$AB95,MATCH(Lists!$B$4,$A$1:$AB$1,0))&amp;""),"")))</f>
        <v/>
      </c>
      <c r="AU95" s="31">
        <f>IF(AR95="","",IFERROR(TRIM(INDEX($A95:$AB95,MATCH(Lists!$B$7,$A$1:$AB$1,0))&amp;""),""))</f>
        <v/>
      </c>
      <c r="AV95" s="31">
        <f>IF(AR95="","",IFERROR(TRIM(INDEX($A95:$AB95,MATCH(Lists!$B$9,$A$1:$AB$1,0))&amp;""),""))</f>
        <v/>
      </c>
      <c r="AW95" s="31">
        <f>IF(AR95="","",IFERROR(TRIM(INDEX($A95:$AB95,MATCH(Lists!$B$8,$A$1:$AB$1,0))&amp;""),""))</f>
        <v/>
      </c>
      <c r="AX95" s="23">
        <f>IF(AR95="","",IF(OR(TRIM(AE95&amp;"")&lt;&gt;"",AND(Skills!$B$5&lt;&gt;"",ISNUMBER(SEARCH(Skills!$B$5,AU95)))),1,0))</f>
        <v/>
      </c>
      <c r="AY95" s="23">
        <f>IF(AR95="","",IF(OR(TRIM(AF95&amp;"")&lt;&gt;"",AND(Skills!$B$6&lt;&gt;"",ISNUMBER(SEARCH(Skills!$B$6,AU95)))),1,0))</f>
        <v/>
      </c>
      <c r="AZ95" s="23">
        <f>IF(AR95="","",IF(OR(TRIM(AG95&amp;"")&lt;&gt;"",AND(Skills!$B$7&lt;&gt;"",ISNUMBER(SEARCH(Skills!$B$7,AU95)))),1,0))</f>
        <v/>
      </c>
      <c r="BA95" s="23">
        <f>IF(AR95="","",IF(OR(TRIM(AH95&amp;"")&lt;&gt;"",AND(Skills!$B$8&lt;&gt;"",ISNUMBER(SEARCH(Skills!$B$8,AU95)))),1,0))</f>
        <v/>
      </c>
      <c r="BB95" s="23">
        <f>IF(AR95="","",IF(OR(TRIM(AI95&amp;"")&lt;&gt;"",AND(Skills!$B$9&lt;&gt;"",ISNUMBER(SEARCH(Skills!$B$9,AU95)))),1,0))</f>
        <v/>
      </c>
      <c r="BC95" s="23">
        <f>IF(AR95="","",IF(OR(TRIM(AJ95&amp;"")&lt;&gt;"",AND(Skills!$B$10&lt;&gt;"",ISNUMBER(SEARCH(Skills!$B$10,AU95)))),1,0))</f>
        <v/>
      </c>
      <c r="BD95" s="23">
        <f>IF(AR95="","",IF(OR(TRIM(AK95&amp;"")&lt;&gt;"",AND(Skills!$B$11&lt;&gt;"",ISNUMBER(SEARCH(Skills!$B$11,AU95)))),1,0))</f>
        <v/>
      </c>
      <c r="BE95" s="23">
        <f>IF(AR95="","",IF(OR(TRIM(AL95&amp;"")&lt;&gt;"",AND(Skills!$B$12&lt;&gt;"",ISNUMBER(SEARCH(Skills!$B$12,AU95)))),1,0))</f>
        <v/>
      </c>
      <c r="BF95" s="23">
        <f>IF(AR95="","",IF(OR(TRIM(AM95&amp;"")&lt;&gt;"",AND(Skills!$B$13&lt;&gt;"",ISNUMBER(SEARCH(Skills!$B$13,AU95)))),1,0))</f>
        <v/>
      </c>
      <c r="BG95" s="23">
        <f>IF(AR95="","",IF(OR(TRIM(AN95&amp;"")&lt;&gt;"",AND(Skills!$B$14&lt;&gt;"",ISNUMBER(SEARCH(Skills!$B$14,AU95)))),1,0))</f>
        <v/>
      </c>
      <c r="BH95" s="23">
        <f>IF(AR95="","",IF(OR(TRIM(AO95&amp;"")&lt;&gt;"",AND(Skills!$B$15&lt;&gt;"",ISNUMBER(SEARCH(Skills!$B$15,AU95)))),1,0))</f>
        <v/>
      </c>
      <c r="BI95" s="23">
        <f>IF(AR95="","",IF(OR(TRIM(AP95&amp;"")&lt;&gt;"",AND(Skills!$B$16&lt;&gt;"",ISNUMBER(SEARCH(Skills!$B$16,AU95)))),1,0))</f>
        <v/>
      </c>
      <c r="BJ95" s="23">
        <f>IF(AR95="","",SUMPRODUCT($AX95:$BI95,Skills!$B$20:$M$20))</f>
        <v/>
      </c>
      <c r="BK95" s="23">
        <f>IF(AR95="","",BJ95*100000+(100000-ROW()))</f>
        <v/>
      </c>
      <c r="BL95" s="31">
        <f>IF(AR95="","",IF((IF(AND(AX95=1,Skills!$B$20=1),Skills!$B$5&amp;", ","")&amp;IF(AND(AY95=1,Skills!$C$20=1),Skills!$B$6&amp;", ","")&amp;IF(AND(AZ95=1,Skills!$D$20=1),Skills!$B$7&amp;", ","")&amp;IF(AND(BA95=1,Skills!$E$20=1),Skills!$B$8&amp;", ","")&amp;IF(AND(BB95=1,Skills!$F$20=1),Skills!$B$9&amp;", ","")&amp;IF(AND(BC95=1,Skills!$G$20=1),Skills!$B$10&amp;", ","")&amp;IF(AND(BD95=1,Skills!$H$20=1),Skills!$B$11&amp;", ","")&amp;IF(AND(BE95=1,Skills!$I$20=1),Skills!$B$12&amp;", ","")&amp;IF(AND(BF95=1,Skills!$J$20=1),Skills!$B$13&amp;", ","")&amp;IF(AND(BG95=1,Skills!$K$20=1),Skills!$B$14&amp;", ","")&amp;IF(AND(BH95=1,Skills!$L$20=1),Skills!$B$15&amp;", ","")&amp;IF(AND(BI95=1,Skills!$M$20=1),Skills!$B$16&amp;", ",""))="","",LEFT(IF(AND(AX95=1,Skills!$B$20=1),Skills!$B$5&amp;", ","")&amp;IF(AND(AY95=1,Skills!$C$20=1),Skills!$B$6&amp;", ","")&amp;IF(AND(AZ95=1,Skills!$D$20=1),Skills!$B$7&amp;", ","")&amp;IF(AND(BA95=1,Skills!$E$20=1),Skills!$B$8&amp;", ","")&amp;IF(AND(BB95=1,Skills!$F$20=1),Skills!$B$9&amp;", ","")&amp;IF(AND(BC95=1,Skills!$G$20=1),Skills!$B$10&amp;", ","")&amp;IF(AND(BD95=1,Skills!$H$20=1),Skills!$B$11&amp;", ","")&amp;IF(AND(BE95=1,Skills!$I$20=1),Skills!$B$12&amp;", ","")&amp;IF(AND(BF95=1,Skills!$J$20=1),Skills!$B$13&amp;", ","")&amp;IF(AND(BG95=1,Skills!$K$20=1),Skills!$B$14&amp;", ","")&amp;IF(AND(BH95=1,Skills!$L$20=1),Skills!$B$15&amp;", ","")&amp;IF(AND(BI95=1,Skills!$M$20=1),Skills!$B$16&amp;", ",""),LEN(IF(AND(AX95=1,Skills!$B$20=1),Skills!$B$5&amp;", ","")&amp;IF(AND(AY95=1,Skills!$C$20=1),Skills!$B$6&amp;", ","")&amp;IF(AND(AZ95=1,Skills!$D$20=1),Skills!$B$7&amp;", ","")&amp;IF(AND(BA95=1,Skills!$E$20=1),Skills!$B$8&amp;", ","")&amp;IF(AND(BB95=1,Skills!$F$20=1),Skills!$B$9&amp;", ","")&amp;IF(AND(BC95=1,Skills!$G$20=1),Skills!$B$10&amp;", ","")&amp;IF(AND(BD95=1,Skills!$H$20=1),Skills!$B$11&amp;", ","")&amp;IF(AND(BE95=1,Skills!$I$20=1),Skills!$B$12&amp;", ","")&amp;IF(AND(BF95=1,Skills!$J$20=1),Skills!$B$13&amp;", ","")&amp;IF(AND(BG95=1,Skills!$K$20=1),Skills!$B$14&amp;", ","")&amp;IF(AND(BH95=1,Skills!$L$20=1),Skills!$B$15&amp;", ","")&amp;IF(AND(BI95=1,Skills!$M$20=1),Skills!$B$16&amp;", ",""))-2)))</f>
        <v/>
      </c>
    </row>
    <row r="96">
      <c r="AD96" s="20" t="n"/>
      <c r="AE96" s="20" t="n"/>
      <c r="AF96" s="20" t="n"/>
      <c r="AG96" s="20" t="n"/>
      <c r="AH96" s="20" t="n"/>
      <c r="AI96" s="20" t="n"/>
      <c r="AJ96" s="20" t="n"/>
      <c r="AK96" s="20" t="n"/>
      <c r="AL96" s="20" t="n"/>
      <c r="AM96" s="20" t="n"/>
      <c r="AN96" s="20" t="n"/>
      <c r="AO96" s="20" t="n"/>
      <c r="AP96" s="20" t="n"/>
      <c r="AR96" s="31">
        <f>IF(IFERROR(TRIM(INDEX($A96:$AB96,MATCH(Lists!$B$5,$A$1:$AB$1,0))&amp;""),"")&lt;&gt;"",IFERROR(TRIM(INDEX($A96:$AB96,MATCH(Lists!$B$5,$A$1:$AB$1,0))&amp;""),""),IFERROR(TRIM(INDEX($A96:$AB96,MATCH(Lists!$B$3,$A$1:$AB$1,0))&amp;""),""))</f>
        <v/>
      </c>
      <c r="AS96" s="31">
        <f>IF(AR96="","",IF(IFERROR(TRIM(INDEX($A96:$AB96,MATCH(Lists!$B$5,$A$1:$AB$1,0))&amp;""),"")&lt;&gt;"","Nominated","Applied"))</f>
        <v/>
      </c>
      <c r="AT96" s="31">
        <f>IF(AR96="","",IF(IFERROR(TRIM(INDEX($A96:$AB96,MATCH(Lists!$B$5,$A$1:$AB$1,0))&amp;""),"")&lt;&gt;"",IFERROR(TRIM(INDEX($A96:$AB96,MATCH(Lists!$B$6,$A$1:$AB$1,0))&amp;""),""),IFERROR(TRIM(INDEX($A96:$AB96,MATCH(Lists!$B$4,$A$1:$AB$1,0))&amp;""),"")))</f>
        <v/>
      </c>
      <c r="AU96" s="31">
        <f>IF(AR96="","",IFERROR(TRIM(INDEX($A96:$AB96,MATCH(Lists!$B$7,$A$1:$AB$1,0))&amp;""),""))</f>
        <v/>
      </c>
      <c r="AV96" s="31">
        <f>IF(AR96="","",IFERROR(TRIM(INDEX($A96:$AB96,MATCH(Lists!$B$9,$A$1:$AB$1,0))&amp;""),""))</f>
        <v/>
      </c>
      <c r="AW96" s="31">
        <f>IF(AR96="","",IFERROR(TRIM(INDEX($A96:$AB96,MATCH(Lists!$B$8,$A$1:$AB$1,0))&amp;""),""))</f>
        <v/>
      </c>
      <c r="AX96" s="23">
        <f>IF(AR96="","",IF(OR(TRIM(AE96&amp;"")&lt;&gt;"",AND(Skills!$B$5&lt;&gt;"",ISNUMBER(SEARCH(Skills!$B$5,AU96)))),1,0))</f>
        <v/>
      </c>
      <c r="AY96" s="23">
        <f>IF(AR96="","",IF(OR(TRIM(AF96&amp;"")&lt;&gt;"",AND(Skills!$B$6&lt;&gt;"",ISNUMBER(SEARCH(Skills!$B$6,AU96)))),1,0))</f>
        <v/>
      </c>
      <c r="AZ96" s="23">
        <f>IF(AR96="","",IF(OR(TRIM(AG96&amp;"")&lt;&gt;"",AND(Skills!$B$7&lt;&gt;"",ISNUMBER(SEARCH(Skills!$B$7,AU96)))),1,0))</f>
        <v/>
      </c>
      <c r="BA96" s="23">
        <f>IF(AR96="","",IF(OR(TRIM(AH96&amp;"")&lt;&gt;"",AND(Skills!$B$8&lt;&gt;"",ISNUMBER(SEARCH(Skills!$B$8,AU96)))),1,0))</f>
        <v/>
      </c>
      <c r="BB96" s="23">
        <f>IF(AR96="","",IF(OR(TRIM(AI96&amp;"")&lt;&gt;"",AND(Skills!$B$9&lt;&gt;"",ISNUMBER(SEARCH(Skills!$B$9,AU96)))),1,0))</f>
        <v/>
      </c>
      <c r="BC96" s="23">
        <f>IF(AR96="","",IF(OR(TRIM(AJ96&amp;"")&lt;&gt;"",AND(Skills!$B$10&lt;&gt;"",ISNUMBER(SEARCH(Skills!$B$10,AU96)))),1,0))</f>
        <v/>
      </c>
      <c r="BD96" s="23">
        <f>IF(AR96="","",IF(OR(TRIM(AK96&amp;"")&lt;&gt;"",AND(Skills!$B$11&lt;&gt;"",ISNUMBER(SEARCH(Skills!$B$11,AU96)))),1,0))</f>
        <v/>
      </c>
      <c r="BE96" s="23">
        <f>IF(AR96="","",IF(OR(TRIM(AL96&amp;"")&lt;&gt;"",AND(Skills!$B$12&lt;&gt;"",ISNUMBER(SEARCH(Skills!$B$12,AU96)))),1,0))</f>
        <v/>
      </c>
      <c r="BF96" s="23">
        <f>IF(AR96="","",IF(OR(TRIM(AM96&amp;"")&lt;&gt;"",AND(Skills!$B$13&lt;&gt;"",ISNUMBER(SEARCH(Skills!$B$13,AU96)))),1,0))</f>
        <v/>
      </c>
      <c r="BG96" s="23">
        <f>IF(AR96="","",IF(OR(TRIM(AN96&amp;"")&lt;&gt;"",AND(Skills!$B$14&lt;&gt;"",ISNUMBER(SEARCH(Skills!$B$14,AU96)))),1,0))</f>
        <v/>
      </c>
      <c r="BH96" s="23">
        <f>IF(AR96="","",IF(OR(TRIM(AO96&amp;"")&lt;&gt;"",AND(Skills!$B$15&lt;&gt;"",ISNUMBER(SEARCH(Skills!$B$15,AU96)))),1,0))</f>
        <v/>
      </c>
      <c r="BI96" s="23">
        <f>IF(AR96="","",IF(OR(TRIM(AP96&amp;"")&lt;&gt;"",AND(Skills!$B$16&lt;&gt;"",ISNUMBER(SEARCH(Skills!$B$16,AU96)))),1,0))</f>
        <v/>
      </c>
      <c r="BJ96" s="23">
        <f>IF(AR96="","",SUMPRODUCT($AX96:$BI96,Skills!$B$20:$M$20))</f>
        <v/>
      </c>
      <c r="BK96" s="23">
        <f>IF(AR96="","",BJ96*100000+(100000-ROW()))</f>
        <v/>
      </c>
      <c r="BL96" s="31">
        <f>IF(AR96="","",IF((IF(AND(AX96=1,Skills!$B$20=1),Skills!$B$5&amp;", ","")&amp;IF(AND(AY96=1,Skills!$C$20=1),Skills!$B$6&amp;", ","")&amp;IF(AND(AZ96=1,Skills!$D$20=1),Skills!$B$7&amp;", ","")&amp;IF(AND(BA96=1,Skills!$E$20=1),Skills!$B$8&amp;", ","")&amp;IF(AND(BB96=1,Skills!$F$20=1),Skills!$B$9&amp;", ","")&amp;IF(AND(BC96=1,Skills!$G$20=1),Skills!$B$10&amp;", ","")&amp;IF(AND(BD96=1,Skills!$H$20=1),Skills!$B$11&amp;", ","")&amp;IF(AND(BE96=1,Skills!$I$20=1),Skills!$B$12&amp;", ","")&amp;IF(AND(BF96=1,Skills!$J$20=1),Skills!$B$13&amp;", ","")&amp;IF(AND(BG96=1,Skills!$K$20=1),Skills!$B$14&amp;", ","")&amp;IF(AND(BH96=1,Skills!$L$20=1),Skills!$B$15&amp;", ","")&amp;IF(AND(BI96=1,Skills!$M$20=1),Skills!$B$16&amp;", ",""))="","",LEFT(IF(AND(AX96=1,Skills!$B$20=1),Skills!$B$5&amp;", ","")&amp;IF(AND(AY96=1,Skills!$C$20=1),Skills!$B$6&amp;", ","")&amp;IF(AND(AZ96=1,Skills!$D$20=1),Skills!$B$7&amp;", ","")&amp;IF(AND(BA96=1,Skills!$E$20=1),Skills!$B$8&amp;", ","")&amp;IF(AND(BB96=1,Skills!$F$20=1),Skills!$B$9&amp;", ","")&amp;IF(AND(BC96=1,Skills!$G$20=1),Skills!$B$10&amp;", ","")&amp;IF(AND(BD96=1,Skills!$H$20=1),Skills!$B$11&amp;", ","")&amp;IF(AND(BE96=1,Skills!$I$20=1),Skills!$B$12&amp;", ","")&amp;IF(AND(BF96=1,Skills!$J$20=1),Skills!$B$13&amp;", ","")&amp;IF(AND(BG96=1,Skills!$K$20=1),Skills!$B$14&amp;", ","")&amp;IF(AND(BH96=1,Skills!$L$20=1),Skills!$B$15&amp;", ","")&amp;IF(AND(BI96=1,Skills!$M$20=1),Skills!$B$16&amp;", ",""),LEN(IF(AND(AX96=1,Skills!$B$20=1),Skills!$B$5&amp;", ","")&amp;IF(AND(AY96=1,Skills!$C$20=1),Skills!$B$6&amp;", ","")&amp;IF(AND(AZ96=1,Skills!$D$20=1),Skills!$B$7&amp;", ","")&amp;IF(AND(BA96=1,Skills!$E$20=1),Skills!$B$8&amp;", ","")&amp;IF(AND(BB96=1,Skills!$F$20=1),Skills!$B$9&amp;", ","")&amp;IF(AND(BC96=1,Skills!$G$20=1),Skills!$B$10&amp;", ","")&amp;IF(AND(BD96=1,Skills!$H$20=1),Skills!$B$11&amp;", ","")&amp;IF(AND(BE96=1,Skills!$I$20=1),Skills!$B$12&amp;", ","")&amp;IF(AND(BF96=1,Skills!$J$20=1),Skills!$B$13&amp;", ","")&amp;IF(AND(BG96=1,Skills!$K$20=1),Skills!$B$14&amp;", ","")&amp;IF(AND(BH96=1,Skills!$L$20=1),Skills!$B$15&amp;", ","")&amp;IF(AND(BI96=1,Skills!$M$20=1),Skills!$B$16&amp;", ",""))-2)))</f>
        <v/>
      </c>
    </row>
    <row r="97">
      <c r="AD97" s="20" t="n"/>
      <c r="AE97" s="20" t="n"/>
      <c r="AF97" s="20" t="n"/>
      <c r="AG97" s="20" t="n"/>
      <c r="AH97" s="20" t="n"/>
      <c r="AI97" s="20" t="n"/>
      <c r="AJ97" s="20" t="n"/>
      <c r="AK97" s="20" t="n"/>
      <c r="AL97" s="20" t="n"/>
      <c r="AM97" s="20" t="n"/>
      <c r="AN97" s="20" t="n"/>
      <c r="AO97" s="20" t="n"/>
      <c r="AP97" s="20" t="n"/>
      <c r="AR97" s="31">
        <f>IF(IFERROR(TRIM(INDEX($A97:$AB97,MATCH(Lists!$B$5,$A$1:$AB$1,0))&amp;""),"")&lt;&gt;"",IFERROR(TRIM(INDEX($A97:$AB97,MATCH(Lists!$B$5,$A$1:$AB$1,0))&amp;""),""),IFERROR(TRIM(INDEX($A97:$AB97,MATCH(Lists!$B$3,$A$1:$AB$1,0))&amp;""),""))</f>
        <v/>
      </c>
      <c r="AS97" s="31">
        <f>IF(AR97="","",IF(IFERROR(TRIM(INDEX($A97:$AB97,MATCH(Lists!$B$5,$A$1:$AB$1,0))&amp;""),"")&lt;&gt;"","Nominated","Applied"))</f>
        <v/>
      </c>
      <c r="AT97" s="31">
        <f>IF(AR97="","",IF(IFERROR(TRIM(INDEX($A97:$AB97,MATCH(Lists!$B$5,$A$1:$AB$1,0))&amp;""),"")&lt;&gt;"",IFERROR(TRIM(INDEX($A97:$AB97,MATCH(Lists!$B$6,$A$1:$AB$1,0))&amp;""),""),IFERROR(TRIM(INDEX($A97:$AB97,MATCH(Lists!$B$4,$A$1:$AB$1,0))&amp;""),"")))</f>
        <v/>
      </c>
      <c r="AU97" s="31">
        <f>IF(AR97="","",IFERROR(TRIM(INDEX($A97:$AB97,MATCH(Lists!$B$7,$A$1:$AB$1,0))&amp;""),""))</f>
        <v/>
      </c>
      <c r="AV97" s="31">
        <f>IF(AR97="","",IFERROR(TRIM(INDEX($A97:$AB97,MATCH(Lists!$B$9,$A$1:$AB$1,0))&amp;""),""))</f>
        <v/>
      </c>
      <c r="AW97" s="31">
        <f>IF(AR97="","",IFERROR(TRIM(INDEX($A97:$AB97,MATCH(Lists!$B$8,$A$1:$AB$1,0))&amp;""),""))</f>
        <v/>
      </c>
      <c r="AX97" s="23">
        <f>IF(AR97="","",IF(OR(TRIM(AE97&amp;"")&lt;&gt;"",AND(Skills!$B$5&lt;&gt;"",ISNUMBER(SEARCH(Skills!$B$5,AU97)))),1,0))</f>
        <v/>
      </c>
      <c r="AY97" s="23">
        <f>IF(AR97="","",IF(OR(TRIM(AF97&amp;"")&lt;&gt;"",AND(Skills!$B$6&lt;&gt;"",ISNUMBER(SEARCH(Skills!$B$6,AU97)))),1,0))</f>
        <v/>
      </c>
      <c r="AZ97" s="23">
        <f>IF(AR97="","",IF(OR(TRIM(AG97&amp;"")&lt;&gt;"",AND(Skills!$B$7&lt;&gt;"",ISNUMBER(SEARCH(Skills!$B$7,AU97)))),1,0))</f>
        <v/>
      </c>
      <c r="BA97" s="23">
        <f>IF(AR97="","",IF(OR(TRIM(AH97&amp;"")&lt;&gt;"",AND(Skills!$B$8&lt;&gt;"",ISNUMBER(SEARCH(Skills!$B$8,AU97)))),1,0))</f>
        <v/>
      </c>
      <c r="BB97" s="23">
        <f>IF(AR97="","",IF(OR(TRIM(AI97&amp;"")&lt;&gt;"",AND(Skills!$B$9&lt;&gt;"",ISNUMBER(SEARCH(Skills!$B$9,AU97)))),1,0))</f>
        <v/>
      </c>
      <c r="BC97" s="23">
        <f>IF(AR97="","",IF(OR(TRIM(AJ97&amp;"")&lt;&gt;"",AND(Skills!$B$10&lt;&gt;"",ISNUMBER(SEARCH(Skills!$B$10,AU97)))),1,0))</f>
        <v/>
      </c>
      <c r="BD97" s="23">
        <f>IF(AR97="","",IF(OR(TRIM(AK97&amp;"")&lt;&gt;"",AND(Skills!$B$11&lt;&gt;"",ISNUMBER(SEARCH(Skills!$B$11,AU97)))),1,0))</f>
        <v/>
      </c>
      <c r="BE97" s="23">
        <f>IF(AR97="","",IF(OR(TRIM(AL97&amp;"")&lt;&gt;"",AND(Skills!$B$12&lt;&gt;"",ISNUMBER(SEARCH(Skills!$B$12,AU97)))),1,0))</f>
        <v/>
      </c>
      <c r="BF97" s="23">
        <f>IF(AR97="","",IF(OR(TRIM(AM97&amp;"")&lt;&gt;"",AND(Skills!$B$13&lt;&gt;"",ISNUMBER(SEARCH(Skills!$B$13,AU97)))),1,0))</f>
        <v/>
      </c>
      <c r="BG97" s="23">
        <f>IF(AR97="","",IF(OR(TRIM(AN97&amp;"")&lt;&gt;"",AND(Skills!$B$14&lt;&gt;"",ISNUMBER(SEARCH(Skills!$B$14,AU97)))),1,0))</f>
        <v/>
      </c>
      <c r="BH97" s="23">
        <f>IF(AR97="","",IF(OR(TRIM(AO97&amp;"")&lt;&gt;"",AND(Skills!$B$15&lt;&gt;"",ISNUMBER(SEARCH(Skills!$B$15,AU97)))),1,0))</f>
        <v/>
      </c>
      <c r="BI97" s="23">
        <f>IF(AR97="","",IF(OR(TRIM(AP97&amp;"")&lt;&gt;"",AND(Skills!$B$16&lt;&gt;"",ISNUMBER(SEARCH(Skills!$B$16,AU97)))),1,0))</f>
        <v/>
      </c>
      <c r="BJ97" s="23">
        <f>IF(AR97="","",SUMPRODUCT($AX97:$BI97,Skills!$B$20:$M$20))</f>
        <v/>
      </c>
      <c r="BK97" s="23">
        <f>IF(AR97="","",BJ97*100000+(100000-ROW()))</f>
        <v/>
      </c>
      <c r="BL97" s="31">
        <f>IF(AR97="","",IF((IF(AND(AX97=1,Skills!$B$20=1),Skills!$B$5&amp;", ","")&amp;IF(AND(AY97=1,Skills!$C$20=1),Skills!$B$6&amp;", ","")&amp;IF(AND(AZ97=1,Skills!$D$20=1),Skills!$B$7&amp;", ","")&amp;IF(AND(BA97=1,Skills!$E$20=1),Skills!$B$8&amp;", ","")&amp;IF(AND(BB97=1,Skills!$F$20=1),Skills!$B$9&amp;", ","")&amp;IF(AND(BC97=1,Skills!$G$20=1),Skills!$B$10&amp;", ","")&amp;IF(AND(BD97=1,Skills!$H$20=1),Skills!$B$11&amp;", ","")&amp;IF(AND(BE97=1,Skills!$I$20=1),Skills!$B$12&amp;", ","")&amp;IF(AND(BF97=1,Skills!$J$20=1),Skills!$B$13&amp;", ","")&amp;IF(AND(BG97=1,Skills!$K$20=1),Skills!$B$14&amp;", ","")&amp;IF(AND(BH97=1,Skills!$L$20=1),Skills!$B$15&amp;", ","")&amp;IF(AND(BI97=1,Skills!$M$20=1),Skills!$B$16&amp;", ",""))="","",LEFT(IF(AND(AX97=1,Skills!$B$20=1),Skills!$B$5&amp;", ","")&amp;IF(AND(AY97=1,Skills!$C$20=1),Skills!$B$6&amp;", ","")&amp;IF(AND(AZ97=1,Skills!$D$20=1),Skills!$B$7&amp;", ","")&amp;IF(AND(BA97=1,Skills!$E$20=1),Skills!$B$8&amp;", ","")&amp;IF(AND(BB97=1,Skills!$F$20=1),Skills!$B$9&amp;", ","")&amp;IF(AND(BC97=1,Skills!$G$20=1),Skills!$B$10&amp;", ","")&amp;IF(AND(BD97=1,Skills!$H$20=1),Skills!$B$11&amp;", ","")&amp;IF(AND(BE97=1,Skills!$I$20=1),Skills!$B$12&amp;", ","")&amp;IF(AND(BF97=1,Skills!$J$20=1),Skills!$B$13&amp;", ","")&amp;IF(AND(BG97=1,Skills!$K$20=1),Skills!$B$14&amp;", ","")&amp;IF(AND(BH97=1,Skills!$L$20=1),Skills!$B$15&amp;", ","")&amp;IF(AND(BI97=1,Skills!$M$20=1),Skills!$B$16&amp;", ",""),LEN(IF(AND(AX97=1,Skills!$B$20=1),Skills!$B$5&amp;", ","")&amp;IF(AND(AY97=1,Skills!$C$20=1),Skills!$B$6&amp;", ","")&amp;IF(AND(AZ97=1,Skills!$D$20=1),Skills!$B$7&amp;", ","")&amp;IF(AND(BA97=1,Skills!$E$20=1),Skills!$B$8&amp;", ","")&amp;IF(AND(BB97=1,Skills!$F$20=1),Skills!$B$9&amp;", ","")&amp;IF(AND(BC97=1,Skills!$G$20=1),Skills!$B$10&amp;", ","")&amp;IF(AND(BD97=1,Skills!$H$20=1),Skills!$B$11&amp;", ","")&amp;IF(AND(BE97=1,Skills!$I$20=1),Skills!$B$12&amp;", ","")&amp;IF(AND(BF97=1,Skills!$J$20=1),Skills!$B$13&amp;", ","")&amp;IF(AND(BG97=1,Skills!$K$20=1),Skills!$B$14&amp;", ","")&amp;IF(AND(BH97=1,Skills!$L$20=1),Skills!$B$15&amp;", ","")&amp;IF(AND(BI97=1,Skills!$M$20=1),Skills!$B$16&amp;", ",""))-2)))</f>
        <v/>
      </c>
    </row>
    <row r="98">
      <c r="AD98" s="20" t="n"/>
      <c r="AE98" s="20" t="n"/>
      <c r="AF98" s="20" t="n"/>
      <c r="AG98" s="20" t="n"/>
      <c r="AH98" s="20" t="n"/>
      <c r="AI98" s="20" t="n"/>
      <c r="AJ98" s="20" t="n"/>
      <c r="AK98" s="20" t="n"/>
      <c r="AL98" s="20" t="n"/>
      <c r="AM98" s="20" t="n"/>
      <c r="AN98" s="20" t="n"/>
      <c r="AO98" s="20" t="n"/>
      <c r="AP98" s="20" t="n"/>
      <c r="AR98" s="31">
        <f>IF(IFERROR(TRIM(INDEX($A98:$AB98,MATCH(Lists!$B$5,$A$1:$AB$1,0))&amp;""),"")&lt;&gt;"",IFERROR(TRIM(INDEX($A98:$AB98,MATCH(Lists!$B$5,$A$1:$AB$1,0))&amp;""),""),IFERROR(TRIM(INDEX($A98:$AB98,MATCH(Lists!$B$3,$A$1:$AB$1,0))&amp;""),""))</f>
        <v/>
      </c>
      <c r="AS98" s="31">
        <f>IF(AR98="","",IF(IFERROR(TRIM(INDEX($A98:$AB98,MATCH(Lists!$B$5,$A$1:$AB$1,0))&amp;""),"")&lt;&gt;"","Nominated","Applied"))</f>
        <v/>
      </c>
      <c r="AT98" s="31">
        <f>IF(AR98="","",IF(IFERROR(TRIM(INDEX($A98:$AB98,MATCH(Lists!$B$5,$A$1:$AB$1,0))&amp;""),"")&lt;&gt;"",IFERROR(TRIM(INDEX($A98:$AB98,MATCH(Lists!$B$6,$A$1:$AB$1,0))&amp;""),""),IFERROR(TRIM(INDEX($A98:$AB98,MATCH(Lists!$B$4,$A$1:$AB$1,0))&amp;""),"")))</f>
        <v/>
      </c>
      <c r="AU98" s="31">
        <f>IF(AR98="","",IFERROR(TRIM(INDEX($A98:$AB98,MATCH(Lists!$B$7,$A$1:$AB$1,0))&amp;""),""))</f>
        <v/>
      </c>
      <c r="AV98" s="31">
        <f>IF(AR98="","",IFERROR(TRIM(INDEX($A98:$AB98,MATCH(Lists!$B$9,$A$1:$AB$1,0))&amp;""),""))</f>
        <v/>
      </c>
      <c r="AW98" s="31">
        <f>IF(AR98="","",IFERROR(TRIM(INDEX($A98:$AB98,MATCH(Lists!$B$8,$A$1:$AB$1,0))&amp;""),""))</f>
        <v/>
      </c>
      <c r="AX98" s="23">
        <f>IF(AR98="","",IF(OR(TRIM(AE98&amp;"")&lt;&gt;"",AND(Skills!$B$5&lt;&gt;"",ISNUMBER(SEARCH(Skills!$B$5,AU98)))),1,0))</f>
        <v/>
      </c>
      <c r="AY98" s="23">
        <f>IF(AR98="","",IF(OR(TRIM(AF98&amp;"")&lt;&gt;"",AND(Skills!$B$6&lt;&gt;"",ISNUMBER(SEARCH(Skills!$B$6,AU98)))),1,0))</f>
        <v/>
      </c>
      <c r="AZ98" s="23">
        <f>IF(AR98="","",IF(OR(TRIM(AG98&amp;"")&lt;&gt;"",AND(Skills!$B$7&lt;&gt;"",ISNUMBER(SEARCH(Skills!$B$7,AU98)))),1,0))</f>
        <v/>
      </c>
      <c r="BA98" s="23">
        <f>IF(AR98="","",IF(OR(TRIM(AH98&amp;"")&lt;&gt;"",AND(Skills!$B$8&lt;&gt;"",ISNUMBER(SEARCH(Skills!$B$8,AU98)))),1,0))</f>
        <v/>
      </c>
      <c r="BB98" s="23">
        <f>IF(AR98="","",IF(OR(TRIM(AI98&amp;"")&lt;&gt;"",AND(Skills!$B$9&lt;&gt;"",ISNUMBER(SEARCH(Skills!$B$9,AU98)))),1,0))</f>
        <v/>
      </c>
      <c r="BC98" s="23">
        <f>IF(AR98="","",IF(OR(TRIM(AJ98&amp;"")&lt;&gt;"",AND(Skills!$B$10&lt;&gt;"",ISNUMBER(SEARCH(Skills!$B$10,AU98)))),1,0))</f>
        <v/>
      </c>
      <c r="BD98" s="23">
        <f>IF(AR98="","",IF(OR(TRIM(AK98&amp;"")&lt;&gt;"",AND(Skills!$B$11&lt;&gt;"",ISNUMBER(SEARCH(Skills!$B$11,AU98)))),1,0))</f>
        <v/>
      </c>
      <c r="BE98" s="23">
        <f>IF(AR98="","",IF(OR(TRIM(AL98&amp;"")&lt;&gt;"",AND(Skills!$B$12&lt;&gt;"",ISNUMBER(SEARCH(Skills!$B$12,AU98)))),1,0))</f>
        <v/>
      </c>
      <c r="BF98" s="23">
        <f>IF(AR98="","",IF(OR(TRIM(AM98&amp;"")&lt;&gt;"",AND(Skills!$B$13&lt;&gt;"",ISNUMBER(SEARCH(Skills!$B$13,AU98)))),1,0))</f>
        <v/>
      </c>
      <c r="BG98" s="23">
        <f>IF(AR98="","",IF(OR(TRIM(AN98&amp;"")&lt;&gt;"",AND(Skills!$B$14&lt;&gt;"",ISNUMBER(SEARCH(Skills!$B$14,AU98)))),1,0))</f>
        <v/>
      </c>
      <c r="BH98" s="23">
        <f>IF(AR98="","",IF(OR(TRIM(AO98&amp;"")&lt;&gt;"",AND(Skills!$B$15&lt;&gt;"",ISNUMBER(SEARCH(Skills!$B$15,AU98)))),1,0))</f>
        <v/>
      </c>
      <c r="BI98" s="23">
        <f>IF(AR98="","",IF(OR(TRIM(AP98&amp;"")&lt;&gt;"",AND(Skills!$B$16&lt;&gt;"",ISNUMBER(SEARCH(Skills!$B$16,AU98)))),1,0))</f>
        <v/>
      </c>
      <c r="BJ98" s="23">
        <f>IF(AR98="","",SUMPRODUCT($AX98:$BI98,Skills!$B$20:$M$20))</f>
        <v/>
      </c>
      <c r="BK98" s="23">
        <f>IF(AR98="","",BJ98*100000+(100000-ROW()))</f>
        <v/>
      </c>
      <c r="BL98" s="31">
        <f>IF(AR98="","",IF((IF(AND(AX98=1,Skills!$B$20=1),Skills!$B$5&amp;", ","")&amp;IF(AND(AY98=1,Skills!$C$20=1),Skills!$B$6&amp;", ","")&amp;IF(AND(AZ98=1,Skills!$D$20=1),Skills!$B$7&amp;", ","")&amp;IF(AND(BA98=1,Skills!$E$20=1),Skills!$B$8&amp;", ","")&amp;IF(AND(BB98=1,Skills!$F$20=1),Skills!$B$9&amp;", ","")&amp;IF(AND(BC98=1,Skills!$G$20=1),Skills!$B$10&amp;", ","")&amp;IF(AND(BD98=1,Skills!$H$20=1),Skills!$B$11&amp;", ","")&amp;IF(AND(BE98=1,Skills!$I$20=1),Skills!$B$12&amp;", ","")&amp;IF(AND(BF98=1,Skills!$J$20=1),Skills!$B$13&amp;", ","")&amp;IF(AND(BG98=1,Skills!$K$20=1),Skills!$B$14&amp;", ","")&amp;IF(AND(BH98=1,Skills!$L$20=1),Skills!$B$15&amp;", ","")&amp;IF(AND(BI98=1,Skills!$M$20=1),Skills!$B$16&amp;", ",""))="","",LEFT(IF(AND(AX98=1,Skills!$B$20=1),Skills!$B$5&amp;", ","")&amp;IF(AND(AY98=1,Skills!$C$20=1),Skills!$B$6&amp;", ","")&amp;IF(AND(AZ98=1,Skills!$D$20=1),Skills!$B$7&amp;", ","")&amp;IF(AND(BA98=1,Skills!$E$20=1),Skills!$B$8&amp;", ","")&amp;IF(AND(BB98=1,Skills!$F$20=1),Skills!$B$9&amp;", ","")&amp;IF(AND(BC98=1,Skills!$G$20=1),Skills!$B$10&amp;", ","")&amp;IF(AND(BD98=1,Skills!$H$20=1),Skills!$B$11&amp;", ","")&amp;IF(AND(BE98=1,Skills!$I$20=1),Skills!$B$12&amp;", ","")&amp;IF(AND(BF98=1,Skills!$J$20=1),Skills!$B$13&amp;", ","")&amp;IF(AND(BG98=1,Skills!$K$20=1),Skills!$B$14&amp;", ","")&amp;IF(AND(BH98=1,Skills!$L$20=1),Skills!$B$15&amp;", ","")&amp;IF(AND(BI98=1,Skills!$M$20=1),Skills!$B$16&amp;", ",""),LEN(IF(AND(AX98=1,Skills!$B$20=1),Skills!$B$5&amp;", ","")&amp;IF(AND(AY98=1,Skills!$C$20=1),Skills!$B$6&amp;", ","")&amp;IF(AND(AZ98=1,Skills!$D$20=1),Skills!$B$7&amp;", ","")&amp;IF(AND(BA98=1,Skills!$E$20=1),Skills!$B$8&amp;", ","")&amp;IF(AND(BB98=1,Skills!$F$20=1),Skills!$B$9&amp;", ","")&amp;IF(AND(BC98=1,Skills!$G$20=1),Skills!$B$10&amp;", ","")&amp;IF(AND(BD98=1,Skills!$H$20=1),Skills!$B$11&amp;", ","")&amp;IF(AND(BE98=1,Skills!$I$20=1),Skills!$B$12&amp;", ","")&amp;IF(AND(BF98=1,Skills!$J$20=1),Skills!$B$13&amp;", ","")&amp;IF(AND(BG98=1,Skills!$K$20=1),Skills!$B$14&amp;", ","")&amp;IF(AND(BH98=1,Skills!$L$20=1),Skills!$B$15&amp;", ","")&amp;IF(AND(BI98=1,Skills!$M$20=1),Skills!$B$16&amp;", ",""))-2)))</f>
        <v/>
      </c>
    </row>
    <row r="99">
      <c r="AD99" s="20" t="n"/>
      <c r="AE99" s="20" t="n"/>
      <c r="AF99" s="20" t="n"/>
      <c r="AG99" s="20" t="n"/>
      <c r="AH99" s="20" t="n"/>
      <c r="AI99" s="20" t="n"/>
      <c r="AJ99" s="20" t="n"/>
      <c r="AK99" s="20" t="n"/>
      <c r="AL99" s="20" t="n"/>
      <c r="AM99" s="20" t="n"/>
      <c r="AN99" s="20" t="n"/>
      <c r="AO99" s="20" t="n"/>
      <c r="AP99" s="20" t="n"/>
      <c r="AR99" s="31">
        <f>IF(IFERROR(TRIM(INDEX($A99:$AB99,MATCH(Lists!$B$5,$A$1:$AB$1,0))&amp;""),"")&lt;&gt;"",IFERROR(TRIM(INDEX($A99:$AB99,MATCH(Lists!$B$5,$A$1:$AB$1,0))&amp;""),""),IFERROR(TRIM(INDEX($A99:$AB99,MATCH(Lists!$B$3,$A$1:$AB$1,0))&amp;""),""))</f>
        <v/>
      </c>
      <c r="AS99" s="31">
        <f>IF(AR99="","",IF(IFERROR(TRIM(INDEX($A99:$AB99,MATCH(Lists!$B$5,$A$1:$AB$1,0))&amp;""),"")&lt;&gt;"","Nominated","Applied"))</f>
        <v/>
      </c>
      <c r="AT99" s="31">
        <f>IF(AR99="","",IF(IFERROR(TRIM(INDEX($A99:$AB99,MATCH(Lists!$B$5,$A$1:$AB$1,0))&amp;""),"")&lt;&gt;"",IFERROR(TRIM(INDEX($A99:$AB99,MATCH(Lists!$B$6,$A$1:$AB$1,0))&amp;""),""),IFERROR(TRIM(INDEX($A99:$AB99,MATCH(Lists!$B$4,$A$1:$AB$1,0))&amp;""),"")))</f>
        <v/>
      </c>
      <c r="AU99" s="31">
        <f>IF(AR99="","",IFERROR(TRIM(INDEX($A99:$AB99,MATCH(Lists!$B$7,$A$1:$AB$1,0))&amp;""),""))</f>
        <v/>
      </c>
      <c r="AV99" s="31">
        <f>IF(AR99="","",IFERROR(TRIM(INDEX($A99:$AB99,MATCH(Lists!$B$9,$A$1:$AB$1,0))&amp;""),""))</f>
        <v/>
      </c>
      <c r="AW99" s="31">
        <f>IF(AR99="","",IFERROR(TRIM(INDEX($A99:$AB99,MATCH(Lists!$B$8,$A$1:$AB$1,0))&amp;""),""))</f>
        <v/>
      </c>
      <c r="AX99" s="23">
        <f>IF(AR99="","",IF(OR(TRIM(AE99&amp;"")&lt;&gt;"",AND(Skills!$B$5&lt;&gt;"",ISNUMBER(SEARCH(Skills!$B$5,AU99)))),1,0))</f>
        <v/>
      </c>
      <c r="AY99" s="23">
        <f>IF(AR99="","",IF(OR(TRIM(AF99&amp;"")&lt;&gt;"",AND(Skills!$B$6&lt;&gt;"",ISNUMBER(SEARCH(Skills!$B$6,AU99)))),1,0))</f>
        <v/>
      </c>
      <c r="AZ99" s="23">
        <f>IF(AR99="","",IF(OR(TRIM(AG99&amp;"")&lt;&gt;"",AND(Skills!$B$7&lt;&gt;"",ISNUMBER(SEARCH(Skills!$B$7,AU99)))),1,0))</f>
        <v/>
      </c>
      <c r="BA99" s="23">
        <f>IF(AR99="","",IF(OR(TRIM(AH99&amp;"")&lt;&gt;"",AND(Skills!$B$8&lt;&gt;"",ISNUMBER(SEARCH(Skills!$B$8,AU99)))),1,0))</f>
        <v/>
      </c>
      <c r="BB99" s="23">
        <f>IF(AR99="","",IF(OR(TRIM(AI99&amp;"")&lt;&gt;"",AND(Skills!$B$9&lt;&gt;"",ISNUMBER(SEARCH(Skills!$B$9,AU99)))),1,0))</f>
        <v/>
      </c>
      <c r="BC99" s="23">
        <f>IF(AR99="","",IF(OR(TRIM(AJ99&amp;"")&lt;&gt;"",AND(Skills!$B$10&lt;&gt;"",ISNUMBER(SEARCH(Skills!$B$10,AU99)))),1,0))</f>
        <v/>
      </c>
      <c r="BD99" s="23">
        <f>IF(AR99="","",IF(OR(TRIM(AK99&amp;"")&lt;&gt;"",AND(Skills!$B$11&lt;&gt;"",ISNUMBER(SEARCH(Skills!$B$11,AU99)))),1,0))</f>
        <v/>
      </c>
      <c r="BE99" s="23">
        <f>IF(AR99="","",IF(OR(TRIM(AL99&amp;"")&lt;&gt;"",AND(Skills!$B$12&lt;&gt;"",ISNUMBER(SEARCH(Skills!$B$12,AU99)))),1,0))</f>
        <v/>
      </c>
      <c r="BF99" s="23">
        <f>IF(AR99="","",IF(OR(TRIM(AM99&amp;"")&lt;&gt;"",AND(Skills!$B$13&lt;&gt;"",ISNUMBER(SEARCH(Skills!$B$13,AU99)))),1,0))</f>
        <v/>
      </c>
      <c r="BG99" s="23">
        <f>IF(AR99="","",IF(OR(TRIM(AN99&amp;"")&lt;&gt;"",AND(Skills!$B$14&lt;&gt;"",ISNUMBER(SEARCH(Skills!$B$14,AU99)))),1,0))</f>
        <v/>
      </c>
      <c r="BH99" s="23">
        <f>IF(AR99="","",IF(OR(TRIM(AO99&amp;"")&lt;&gt;"",AND(Skills!$B$15&lt;&gt;"",ISNUMBER(SEARCH(Skills!$B$15,AU99)))),1,0))</f>
        <v/>
      </c>
      <c r="BI99" s="23">
        <f>IF(AR99="","",IF(OR(TRIM(AP99&amp;"")&lt;&gt;"",AND(Skills!$B$16&lt;&gt;"",ISNUMBER(SEARCH(Skills!$B$16,AU99)))),1,0))</f>
        <v/>
      </c>
      <c r="BJ99" s="23">
        <f>IF(AR99="","",SUMPRODUCT($AX99:$BI99,Skills!$B$20:$M$20))</f>
        <v/>
      </c>
      <c r="BK99" s="23">
        <f>IF(AR99="","",BJ99*100000+(100000-ROW()))</f>
        <v/>
      </c>
      <c r="BL99" s="31">
        <f>IF(AR99="","",IF((IF(AND(AX99=1,Skills!$B$20=1),Skills!$B$5&amp;", ","")&amp;IF(AND(AY99=1,Skills!$C$20=1),Skills!$B$6&amp;", ","")&amp;IF(AND(AZ99=1,Skills!$D$20=1),Skills!$B$7&amp;", ","")&amp;IF(AND(BA99=1,Skills!$E$20=1),Skills!$B$8&amp;", ","")&amp;IF(AND(BB99=1,Skills!$F$20=1),Skills!$B$9&amp;", ","")&amp;IF(AND(BC99=1,Skills!$G$20=1),Skills!$B$10&amp;", ","")&amp;IF(AND(BD99=1,Skills!$H$20=1),Skills!$B$11&amp;", ","")&amp;IF(AND(BE99=1,Skills!$I$20=1),Skills!$B$12&amp;", ","")&amp;IF(AND(BF99=1,Skills!$J$20=1),Skills!$B$13&amp;", ","")&amp;IF(AND(BG99=1,Skills!$K$20=1),Skills!$B$14&amp;", ","")&amp;IF(AND(BH99=1,Skills!$L$20=1),Skills!$B$15&amp;", ","")&amp;IF(AND(BI99=1,Skills!$M$20=1),Skills!$B$16&amp;", ",""))="","",LEFT(IF(AND(AX99=1,Skills!$B$20=1),Skills!$B$5&amp;", ","")&amp;IF(AND(AY99=1,Skills!$C$20=1),Skills!$B$6&amp;", ","")&amp;IF(AND(AZ99=1,Skills!$D$20=1),Skills!$B$7&amp;", ","")&amp;IF(AND(BA99=1,Skills!$E$20=1),Skills!$B$8&amp;", ","")&amp;IF(AND(BB99=1,Skills!$F$20=1),Skills!$B$9&amp;", ","")&amp;IF(AND(BC99=1,Skills!$G$20=1),Skills!$B$10&amp;", ","")&amp;IF(AND(BD99=1,Skills!$H$20=1),Skills!$B$11&amp;", ","")&amp;IF(AND(BE99=1,Skills!$I$20=1),Skills!$B$12&amp;", ","")&amp;IF(AND(BF99=1,Skills!$J$20=1),Skills!$B$13&amp;", ","")&amp;IF(AND(BG99=1,Skills!$K$20=1),Skills!$B$14&amp;", ","")&amp;IF(AND(BH99=1,Skills!$L$20=1),Skills!$B$15&amp;", ","")&amp;IF(AND(BI99=1,Skills!$M$20=1),Skills!$B$16&amp;", ",""),LEN(IF(AND(AX99=1,Skills!$B$20=1),Skills!$B$5&amp;", ","")&amp;IF(AND(AY99=1,Skills!$C$20=1),Skills!$B$6&amp;", ","")&amp;IF(AND(AZ99=1,Skills!$D$20=1),Skills!$B$7&amp;", ","")&amp;IF(AND(BA99=1,Skills!$E$20=1),Skills!$B$8&amp;", ","")&amp;IF(AND(BB99=1,Skills!$F$20=1),Skills!$B$9&amp;", ","")&amp;IF(AND(BC99=1,Skills!$G$20=1),Skills!$B$10&amp;", ","")&amp;IF(AND(BD99=1,Skills!$H$20=1),Skills!$B$11&amp;", ","")&amp;IF(AND(BE99=1,Skills!$I$20=1),Skills!$B$12&amp;", ","")&amp;IF(AND(BF99=1,Skills!$J$20=1),Skills!$B$13&amp;", ","")&amp;IF(AND(BG99=1,Skills!$K$20=1),Skills!$B$14&amp;", ","")&amp;IF(AND(BH99=1,Skills!$L$20=1),Skills!$B$15&amp;", ","")&amp;IF(AND(BI99=1,Skills!$M$20=1),Skills!$B$16&amp;", ",""))-2)))</f>
        <v/>
      </c>
    </row>
    <row r="100">
      <c r="AD100" s="20" t="n"/>
      <c r="AE100" s="20" t="n"/>
      <c r="AF100" s="20" t="n"/>
      <c r="AG100" s="20" t="n"/>
      <c r="AH100" s="20" t="n"/>
      <c r="AI100" s="20" t="n"/>
      <c r="AJ100" s="20" t="n"/>
      <c r="AK100" s="20" t="n"/>
      <c r="AL100" s="20" t="n"/>
      <c r="AM100" s="20" t="n"/>
      <c r="AN100" s="20" t="n"/>
      <c r="AO100" s="20" t="n"/>
      <c r="AP100" s="20" t="n"/>
      <c r="AR100" s="31">
        <f>IF(IFERROR(TRIM(INDEX($A100:$AB100,MATCH(Lists!$B$5,$A$1:$AB$1,0))&amp;""),"")&lt;&gt;"",IFERROR(TRIM(INDEX($A100:$AB100,MATCH(Lists!$B$5,$A$1:$AB$1,0))&amp;""),""),IFERROR(TRIM(INDEX($A100:$AB100,MATCH(Lists!$B$3,$A$1:$AB$1,0))&amp;""),""))</f>
        <v/>
      </c>
      <c r="AS100" s="31">
        <f>IF(AR100="","",IF(IFERROR(TRIM(INDEX($A100:$AB100,MATCH(Lists!$B$5,$A$1:$AB$1,0))&amp;""),"")&lt;&gt;"","Nominated","Applied"))</f>
        <v/>
      </c>
      <c r="AT100" s="31">
        <f>IF(AR100="","",IF(IFERROR(TRIM(INDEX($A100:$AB100,MATCH(Lists!$B$5,$A$1:$AB$1,0))&amp;""),"")&lt;&gt;"",IFERROR(TRIM(INDEX($A100:$AB100,MATCH(Lists!$B$6,$A$1:$AB$1,0))&amp;""),""),IFERROR(TRIM(INDEX($A100:$AB100,MATCH(Lists!$B$4,$A$1:$AB$1,0))&amp;""),"")))</f>
        <v/>
      </c>
      <c r="AU100" s="31">
        <f>IF(AR100="","",IFERROR(TRIM(INDEX($A100:$AB100,MATCH(Lists!$B$7,$A$1:$AB$1,0))&amp;""),""))</f>
        <v/>
      </c>
      <c r="AV100" s="31">
        <f>IF(AR100="","",IFERROR(TRIM(INDEX($A100:$AB100,MATCH(Lists!$B$9,$A$1:$AB$1,0))&amp;""),""))</f>
        <v/>
      </c>
      <c r="AW100" s="31">
        <f>IF(AR100="","",IFERROR(TRIM(INDEX($A100:$AB100,MATCH(Lists!$B$8,$A$1:$AB$1,0))&amp;""),""))</f>
        <v/>
      </c>
      <c r="AX100" s="23">
        <f>IF(AR100="","",IF(OR(TRIM(AE100&amp;"")&lt;&gt;"",AND(Skills!$B$5&lt;&gt;"",ISNUMBER(SEARCH(Skills!$B$5,AU100)))),1,0))</f>
        <v/>
      </c>
      <c r="AY100" s="23">
        <f>IF(AR100="","",IF(OR(TRIM(AF100&amp;"")&lt;&gt;"",AND(Skills!$B$6&lt;&gt;"",ISNUMBER(SEARCH(Skills!$B$6,AU100)))),1,0))</f>
        <v/>
      </c>
      <c r="AZ100" s="23">
        <f>IF(AR100="","",IF(OR(TRIM(AG100&amp;"")&lt;&gt;"",AND(Skills!$B$7&lt;&gt;"",ISNUMBER(SEARCH(Skills!$B$7,AU100)))),1,0))</f>
        <v/>
      </c>
      <c r="BA100" s="23">
        <f>IF(AR100="","",IF(OR(TRIM(AH100&amp;"")&lt;&gt;"",AND(Skills!$B$8&lt;&gt;"",ISNUMBER(SEARCH(Skills!$B$8,AU100)))),1,0))</f>
        <v/>
      </c>
      <c r="BB100" s="23">
        <f>IF(AR100="","",IF(OR(TRIM(AI100&amp;"")&lt;&gt;"",AND(Skills!$B$9&lt;&gt;"",ISNUMBER(SEARCH(Skills!$B$9,AU100)))),1,0))</f>
        <v/>
      </c>
      <c r="BC100" s="23">
        <f>IF(AR100="","",IF(OR(TRIM(AJ100&amp;"")&lt;&gt;"",AND(Skills!$B$10&lt;&gt;"",ISNUMBER(SEARCH(Skills!$B$10,AU100)))),1,0))</f>
        <v/>
      </c>
      <c r="BD100" s="23">
        <f>IF(AR100="","",IF(OR(TRIM(AK100&amp;"")&lt;&gt;"",AND(Skills!$B$11&lt;&gt;"",ISNUMBER(SEARCH(Skills!$B$11,AU100)))),1,0))</f>
        <v/>
      </c>
      <c r="BE100" s="23">
        <f>IF(AR100="","",IF(OR(TRIM(AL100&amp;"")&lt;&gt;"",AND(Skills!$B$12&lt;&gt;"",ISNUMBER(SEARCH(Skills!$B$12,AU100)))),1,0))</f>
        <v/>
      </c>
      <c r="BF100" s="23">
        <f>IF(AR100="","",IF(OR(TRIM(AM100&amp;"")&lt;&gt;"",AND(Skills!$B$13&lt;&gt;"",ISNUMBER(SEARCH(Skills!$B$13,AU100)))),1,0))</f>
        <v/>
      </c>
      <c r="BG100" s="23">
        <f>IF(AR100="","",IF(OR(TRIM(AN100&amp;"")&lt;&gt;"",AND(Skills!$B$14&lt;&gt;"",ISNUMBER(SEARCH(Skills!$B$14,AU100)))),1,0))</f>
        <v/>
      </c>
      <c r="BH100" s="23">
        <f>IF(AR100="","",IF(OR(TRIM(AO100&amp;"")&lt;&gt;"",AND(Skills!$B$15&lt;&gt;"",ISNUMBER(SEARCH(Skills!$B$15,AU100)))),1,0))</f>
        <v/>
      </c>
      <c r="BI100" s="23">
        <f>IF(AR100="","",IF(OR(TRIM(AP100&amp;"")&lt;&gt;"",AND(Skills!$B$16&lt;&gt;"",ISNUMBER(SEARCH(Skills!$B$16,AU100)))),1,0))</f>
        <v/>
      </c>
      <c r="BJ100" s="23">
        <f>IF(AR100="","",SUMPRODUCT($AX100:$BI100,Skills!$B$20:$M$20))</f>
        <v/>
      </c>
      <c r="BK100" s="23">
        <f>IF(AR100="","",BJ100*100000+(100000-ROW()))</f>
        <v/>
      </c>
      <c r="BL100" s="31">
        <f>IF(AR100="","",IF((IF(AND(AX100=1,Skills!$B$20=1),Skills!$B$5&amp;", ","")&amp;IF(AND(AY100=1,Skills!$C$20=1),Skills!$B$6&amp;", ","")&amp;IF(AND(AZ100=1,Skills!$D$20=1),Skills!$B$7&amp;", ","")&amp;IF(AND(BA100=1,Skills!$E$20=1),Skills!$B$8&amp;", ","")&amp;IF(AND(BB100=1,Skills!$F$20=1),Skills!$B$9&amp;", ","")&amp;IF(AND(BC100=1,Skills!$G$20=1),Skills!$B$10&amp;", ","")&amp;IF(AND(BD100=1,Skills!$H$20=1),Skills!$B$11&amp;", ","")&amp;IF(AND(BE100=1,Skills!$I$20=1),Skills!$B$12&amp;", ","")&amp;IF(AND(BF100=1,Skills!$J$20=1),Skills!$B$13&amp;", ","")&amp;IF(AND(BG100=1,Skills!$K$20=1),Skills!$B$14&amp;", ","")&amp;IF(AND(BH100=1,Skills!$L$20=1),Skills!$B$15&amp;", ","")&amp;IF(AND(BI100=1,Skills!$M$20=1),Skills!$B$16&amp;", ",""))="","",LEFT(IF(AND(AX100=1,Skills!$B$20=1),Skills!$B$5&amp;", ","")&amp;IF(AND(AY100=1,Skills!$C$20=1),Skills!$B$6&amp;", ","")&amp;IF(AND(AZ100=1,Skills!$D$20=1),Skills!$B$7&amp;", ","")&amp;IF(AND(BA100=1,Skills!$E$20=1),Skills!$B$8&amp;", ","")&amp;IF(AND(BB100=1,Skills!$F$20=1),Skills!$B$9&amp;", ","")&amp;IF(AND(BC100=1,Skills!$G$20=1),Skills!$B$10&amp;", ","")&amp;IF(AND(BD100=1,Skills!$H$20=1),Skills!$B$11&amp;", ","")&amp;IF(AND(BE100=1,Skills!$I$20=1),Skills!$B$12&amp;", ","")&amp;IF(AND(BF100=1,Skills!$J$20=1),Skills!$B$13&amp;", ","")&amp;IF(AND(BG100=1,Skills!$K$20=1),Skills!$B$14&amp;", ","")&amp;IF(AND(BH100=1,Skills!$L$20=1),Skills!$B$15&amp;", ","")&amp;IF(AND(BI100=1,Skills!$M$20=1),Skills!$B$16&amp;", ",""),LEN(IF(AND(AX100=1,Skills!$B$20=1),Skills!$B$5&amp;", ","")&amp;IF(AND(AY100=1,Skills!$C$20=1),Skills!$B$6&amp;", ","")&amp;IF(AND(AZ100=1,Skills!$D$20=1),Skills!$B$7&amp;", ","")&amp;IF(AND(BA100=1,Skills!$E$20=1),Skills!$B$8&amp;", ","")&amp;IF(AND(BB100=1,Skills!$F$20=1),Skills!$B$9&amp;", ","")&amp;IF(AND(BC100=1,Skills!$G$20=1),Skills!$B$10&amp;", ","")&amp;IF(AND(BD100=1,Skills!$H$20=1),Skills!$B$11&amp;", ","")&amp;IF(AND(BE100=1,Skills!$I$20=1),Skills!$B$12&amp;", ","")&amp;IF(AND(BF100=1,Skills!$J$20=1),Skills!$B$13&amp;", ","")&amp;IF(AND(BG100=1,Skills!$K$20=1),Skills!$B$14&amp;", ","")&amp;IF(AND(BH100=1,Skills!$L$20=1),Skills!$B$15&amp;", ","")&amp;IF(AND(BI100=1,Skills!$M$20=1),Skills!$B$16&amp;", ",""))-2)))</f>
        <v/>
      </c>
    </row>
    <row r="101">
      <c r="AD101" s="20" t="n"/>
      <c r="AE101" s="20" t="n"/>
      <c r="AF101" s="20" t="n"/>
      <c r="AG101" s="20" t="n"/>
      <c r="AH101" s="20" t="n"/>
      <c r="AI101" s="20" t="n"/>
      <c r="AJ101" s="20" t="n"/>
      <c r="AK101" s="20" t="n"/>
      <c r="AL101" s="20" t="n"/>
      <c r="AM101" s="20" t="n"/>
      <c r="AN101" s="20" t="n"/>
      <c r="AO101" s="20" t="n"/>
      <c r="AP101" s="20" t="n"/>
      <c r="AR101" s="31">
        <f>IF(IFERROR(TRIM(INDEX($A101:$AB101,MATCH(Lists!$B$5,$A$1:$AB$1,0))&amp;""),"")&lt;&gt;"",IFERROR(TRIM(INDEX($A101:$AB101,MATCH(Lists!$B$5,$A$1:$AB$1,0))&amp;""),""),IFERROR(TRIM(INDEX($A101:$AB101,MATCH(Lists!$B$3,$A$1:$AB$1,0))&amp;""),""))</f>
        <v/>
      </c>
      <c r="AS101" s="31">
        <f>IF(AR101="","",IF(IFERROR(TRIM(INDEX($A101:$AB101,MATCH(Lists!$B$5,$A$1:$AB$1,0))&amp;""),"")&lt;&gt;"","Nominated","Applied"))</f>
        <v/>
      </c>
      <c r="AT101" s="31">
        <f>IF(AR101="","",IF(IFERROR(TRIM(INDEX($A101:$AB101,MATCH(Lists!$B$5,$A$1:$AB$1,0))&amp;""),"")&lt;&gt;"",IFERROR(TRIM(INDEX($A101:$AB101,MATCH(Lists!$B$6,$A$1:$AB$1,0))&amp;""),""),IFERROR(TRIM(INDEX($A101:$AB101,MATCH(Lists!$B$4,$A$1:$AB$1,0))&amp;""),"")))</f>
        <v/>
      </c>
      <c r="AU101" s="31">
        <f>IF(AR101="","",IFERROR(TRIM(INDEX($A101:$AB101,MATCH(Lists!$B$7,$A$1:$AB$1,0))&amp;""),""))</f>
        <v/>
      </c>
      <c r="AV101" s="31">
        <f>IF(AR101="","",IFERROR(TRIM(INDEX($A101:$AB101,MATCH(Lists!$B$9,$A$1:$AB$1,0))&amp;""),""))</f>
        <v/>
      </c>
      <c r="AW101" s="31">
        <f>IF(AR101="","",IFERROR(TRIM(INDEX($A101:$AB101,MATCH(Lists!$B$8,$A$1:$AB$1,0))&amp;""),""))</f>
        <v/>
      </c>
      <c r="AX101" s="23">
        <f>IF(AR101="","",IF(OR(TRIM(AE101&amp;"")&lt;&gt;"",AND(Skills!$B$5&lt;&gt;"",ISNUMBER(SEARCH(Skills!$B$5,AU101)))),1,0))</f>
        <v/>
      </c>
      <c r="AY101" s="23">
        <f>IF(AR101="","",IF(OR(TRIM(AF101&amp;"")&lt;&gt;"",AND(Skills!$B$6&lt;&gt;"",ISNUMBER(SEARCH(Skills!$B$6,AU101)))),1,0))</f>
        <v/>
      </c>
      <c r="AZ101" s="23">
        <f>IF(AR101="","",IF(OR(TRIM(AG101&amp;"")&lt;&gt;"",AND(Skills!$B$7&lt;&gt;"",ISNUMBER(SEARCH(Skills!$B$7,AU101)))),1,0))</f>
        <v/>
      </c>
      <c r="BA101" s="23">
        <f>IF(AR101="","",IF(OR(TRIM(AH101&amp;"")&lt;&gt;"",AND(Skills!$B$8&lt;&gt;"",ISNUMBER(SEARCH(Skills!$B$8,AU101)))),1,0))</f>
        <v/>
      </c>
      <c r="BB101" s="23">
        <f>IF(AR101="","",IF(OR(TRIM(AI101&amp;"")&lt;&gt;"",AND(Skills!$B$9&lt;&gt;"",ISNUMBER(SEARCH(Skills!$B$9,AU101)))),1,0))</f>
        <v/>
      </c>
      <c r="BC101" s="23">
        <f>IF(AR101="","",IF(OR(TRIM(AJ101&amp;"")&lt;&gt;"",AND(Skills!$B$10&lt;&gt;"",ISNUMBER(SEARCH(Skills!$B$10,AU101)))),1,0))</f>
        <v/>
      </c>
      <c r="BD101" s="23">
        <f>IF(AR101="","",IF(OR(TRIM(AK101&amp;"")&lt;&gt;"",AND(Skills!$B$11&lt;&gt;"",ISNUMBER(SEARCH(Skills!$B$11,AU101)))),1,0))</f>
        <v/>
      </c>
      <c r="BE101" s="23">
        <f>IF(AR101="","",IF(OR(TRIM(AL101&amp;"")&lt;&gt;"",AND(Skills!$B$12&lt;&gt;"",ISNUMBER(SEARCH(Skills!$B$12,AU101)))),1,0))</f>
        <v/>
      </c>
      <c r="BF101" s="23">
        <f>IF(AR101="","",IF(OR(TRIM(AM101&amp;"")&lt;&gt;"",AND(Skills!$B$13&lt;&gt;"",ISNUMBER(SEARCH(Skills!$B$13,AU101)))),1,0))</f>
        <v/>
      </c>
      <c r="BG101" s="23">
        <f>IF(AR101="","",IF(OR(TRIM(AN101&amp;"")&lt;&gt;"",AND(Skills!$B$14&lt;&gt;"",ISNUMBER(SEARCH(Skills!$B$14,AU101)))),1,0))</f>
        <v/>
      </c>
      <c r="BH101" s="23">
        <f>IF(AR101="","",IF(OR(TRIM(AO101&amp;"")&lt;&gt;"",AND(Skills!$B$15&lt;&gt;"",ISNUMBER(SEARCH(Skills!$B$15,AU101)))),1,0))</f>
        <v/>
      </c>
      <c r="BI101" s="23">
        <f>IF(AR101="","",IF(OR(TRIM(AP101&amp;"")&lt;&gt;"",AND(Skills!$B$16&lt;&gt;"",ISNUMBER(SEARCH(Skills!$B$16,AU101)))),1,0))</f>
        <v/>
      </c>
      <c r="BJ101" s="23">
        <f>IF(AR101="","",SUMPRODUCT($AX101:$BI101,Skills!$B$20:$M$20))</f>
        <v/>
      </c>
      <c r="BK101" s="23">
        <f>IF(AR101="","",BJ101*100000+(100000-ROW()))</f>
        <v/>
      </c>
      <c r="BL101" s="31">
        <f>IF(AR101="","",IF((IF(AND(AX101=1,Skills!$B$20=1),Skills!$B$5&amp;", ","")&amp;IF(AND(AY101=1,Skills!$C$20=1),Skills!$B$6&amp;", ","")&amp;IF(AND(AZ101=1,Skills!$D$20=1),Skills!$B$7&amp;", ","")&amp;IF(AND(BA101=1,Skills!$E$20=1),Skills!$B$8&amp;", ","")&amp;IF(AND(BB101=1,Skills!$F$20=1),Skills!$B$9&amp;", ","")&amp;IF(AND(BC101=1,Skills!$G$20=1),Skills!$B$10&amp;", ","")&amp;IF(AND(BD101=1,Skills!$H$20=1),Skills!$B$11&amp;", ","")&amp;IF(AND(BE101=1,Skills!$I$20=1),Skills!$B$12&amp;", ","")&amp;IF(AND(BF101=1,Skills!$J$20=1),Skills!$B$13&amp;", ","")&amp;IF(AND(BG101=1,Skills!$K$20=1),Skills!$B$14&amp;", ","")&amp;IF(AND(BH101=1,Skills!$L$20=1),Skills!$B$15&amp;", ","")&amp;IF(AND(BI101=1,Skills!$M$20=1),Skills!$B$16&amp;", ",""))="","",LEFT(IF(AND(AX101=1,Skills!$B$20=1),Skills!$B$5&amp;", ","")&amp;IF(AND(AY101=1,Skills!$C$20=1),Skills!$B$6&amp;", ","")&amp;IF(AND(AZ101=1,Skills!$D$20=1),Skills!$B$7&amp;", ","")&amp;IF(AND(BA101=1,Skills!$E$20=1),Skills!$B$8&amp;", ","")&amp;IF(AND(BB101=1,Skills!$F$20=1),Skills!$B$9&amp;", ","")&amp;IF(AND(BC101=1,Skills!$G$20=1),Skills!$B$10&amp;", ","")&amp;IF(AND(BD101=1,Skills!$H$20=1),Skills!$B$11&amp;", ","")&amp;IF(AND(BE101=1,Skills!$I$20=1),Skills!$B$12&amp;", ","")&amp;IF(AND(BF101=1,Skills!$J$20=1),Skills!$B$13&amp;", ","")&amp;IF(AND(BG101=1,Skills!$K$20=1),Skills!$B$14&amp;", ","")&amp;IF(AND(BH101=1,Skills!$L$20=1),Skills!$B$15&amp;", ","")&amp;IF(AND(BI101=1,Skills!$M$20=1),Skills!$B$16&amp;", ",""),LEN(IF(AND(AX101=1,Skills!$B$20=1),Skills!$B$5&amp;", ","")&amp;IF(AND(AY101=1,Skills!$C$20=1),Skills!$B$6&amp;", ","")&amp;IF(AND(AZ101=1,Skills!$D$20=1),Skills!$B$7&amp;", ","")&amp;IF(AND(BA101=1,Skills!$E$20=1),Skills!$B$8&amp;", ","")&amp;IF(AND(BB101=1,Skills!$F$20=1),Skills!$B$9&amp;", ","")&amp;IF(AND(BC101=1,Skills!$G$20=1),Skills!$B$10&amp;", ","")&amp;IF(AND(BD101=1,Skills!$H$20=1),Skills!$B$11&amp;", ","")&amp;IF(AND(BE101=1,Skills!$I$20=1),Skills!$B$12&amp;", ","")&amp;IF(AND(BF101=1,Skills!$J$20=1),Skills!$B$13&amp;", ","")&amp;IF(AND(BG101=1,Skills!$K$20=1),Skills!$B$14&amp;", ","")&amp;IF(AND(BH101=1,Skills!$L$20=1),Skills!$B$15&amp;", ","")&amp;IF(AND(BI101=1,Skills!$M$20=1),Skills!$B$16&amp;", ",""))-2)))</f>
        <v/>
      </c>
    </row>
    <row r="102">
      <c r="AD102" s="20" t="n"/>
      <c r="AE102" s="20" t="n"/>
      <c r="AF102" s="20" t="n"/>
      <c r="AG102" s="20" t="n"/>
      <c r="AH102" s="20" t="n"/>
      <c r="AI102" s="20" t="n"/>
      <c r="AJ102" s="20" t="n"/>
      <c r="AK102" s="20" t="n"/>
      <c r="AL102" s="20" t="n"/>
      <c r="AM102" s="20" t="n"/>
      <c r="AN102" s="20" t="n"/>
      <c r="AO102" s="20" t="n"/>
      <c r="AP102" s="20" t="n"/>
      <c r="AR102" s="31">
        <f>IF(IFERROR(TRIM(INDEX($A102:$AB102,MATCH(Lists!$B$5,$A$1:$AB$1,0))&amp;""),"")&lt;&gt;"",IFERROR(TRIM(INDEX($A102:$AB102,MATCH(Lists!$B$5,$A$1:$AB$1,0))&amp;""),""),IFERROR(TRIM(INDEX($A102:$AB102,MATCH(Lists!$B$3,$A$1:$AB$1,0))&amp;""),""))</f>
        <v/>
      </c>
      <c r="AS102" s="31">
        <f>IF(AR102="","",IF(IFERROR(TRIM(INDEX($A102:$AB102,MATCH(Lists!$B$5,$A$1:$AB$1,0))&amp;""),"")&lt;&gt;"","Nominated","Applied"))</f>
        <v/>
      </c>
      <c r="AT102" s="31">
        <f>IF(AR102="","",IF(IFERROR(TRIM(INDEX($A102:$AB102,MATCH(Lists!$B$5,$A$1:$AB$1,0))&amp;""),"")&lt;&gt;"",IFERROR(TRIM(INDEX($A102:$AB102,MATCH(Lists!$B$6,$A$1:$AB$1,0))&amp;""),""),IFERROR(TRIM(INDEX($A102:$AB102,MATCH(Lists!$B$4,$A$1:$AB$1,0))&amp;""),"")))</f>
        <v/>
      </c>
      <c r="AU102" s="31">
        <f>IF(AR102="","",IFERROR(TRIM(INDEX($A102:$AB102,MATCH(Lists!$B$7,$A$1:$AB$1,0))&amp;""),""))</f>
        <v/>
      </c>
      <c r="AV102" s="31">
        <f>IF(AR102="","",IFERROR(TRIM(INDEX($A102:$AB102,MATCH(Lists!$B$9,$A$1:$AB$1,0))&amp;""),""))</f>
        <v/>
      </c>
      <c r="AW102" s="31">
        <f>IF(AR102="","",IFERROR(TRIM(INDEX($A102:$AB102,MATCH(Lists!$B$8,$A$1:$AB$1,0))&amp;""),""))</f>
        <v/>
      </c>
      <c r="AX102" s="23">
        <f>IF(AR102="","",IF(OR(TRIM(AE102&amp;"")&lt;&gt;"",AND(Skills!$B$5&lt;&gt;"",ISNUMBER(SEARCH(Skills!$B$5,AU102)))),1,0))</f>
        <v/>
      </c>
      <c r="AY102" s="23">
        <f>IF(AR102="","",IF(OR(TRIM(AF102&amp;"")&lt;&gt;"",AND(Skills!$B$6&lt;&gt;"",ISNUMBER(SEARCH(Skills!$B$6,AU102)))),1,0))</f>
        <v/>
      </c>
      <c r="AZ102" s="23">
        <f>IF(AR102="","",IF(OR(TRIM(AG102&amp;"")&lt;&gt;"",AND(Skills!$B$7&lt;&gt;"",ISNUMBER(SEARCH(Skills!$B$7,AU102)))),1,0))</f>
        <v/>
      </c>
      <c r="BA102" s="23">
        <f>IF(AR102="","",IF(OR(TRIM(AH102&amp;"")&lt;&gt;"",AND(Skills!$B$8&lt;&gt;"",ISNUMBER(SEARCH(Skills!$B$8,AU102)))),1,0))</f>
        <v/>
      </c>
      <c r="BB102" s="23">
        <f>IF(AR102="","",IF(OR(TRIM(AI102&amp;"")&lt;&gt;"",AND(Skills!$B$9&lt;&gt;"",ISNUMBER(SEARCH(Skills!$B$9,AU102)))),1,0))</f>
        <v/>
      </c>
      <c r="BC102" s="23">
        <f>IF(AR102="","",IF(OR(TRIM(AJ102&amp;"")&lt;&gt;"",AND(Skills!$B$10&lt;&gt;"",ISNUMBER(SEARCH(Skills!$B$10,AU102)))),1,0))</f>
        <v/>
      </c>
      <c r="BD102" s="23">
        <f>IF(AR102="","",IF(OR(TRIM(AK102&amp;"")&lt;&gt;"",AND(Skills!$B$11&lt;&gt;"",ISNUMBER(SEARCH(Skills!$B$11,AU102)))),1,0))</f>
        <v/>
      </c>
      <c r="BE102" s="23">
        <f>IF(AR102="","",IF(OR(TRIM(AL102&amp;"")&lt;&gt;"",AND(Skills!$B$12&lt;&gt;"",ISNUMBER(SEARCH(Skills!$B$12,AU102)))),1,0))</f>
        <v/>
      </c>
      <c r="BF102" s="23">
        <f>IF(AR102="","",IF(OR(TRIM(AM102&amp;"")&lt;&gt;"",AND(Skills!$B$13&lt;&gt;"",ISNUMBER(SEARCH(Skills!$B$13,AU102)))),1,0))</f>
        <v/>
      </c>
      <c r="BG102" s="23">
        <f>IF(AR102="","",IF(OR(TRIM(AN102&amp;"")&lt;&gt;"",AND(Skills!$B$14&lt;&gt;"",ISNUMBER(SEARCH(Skills!$B$14,AU102)))),1,0))</f>
        <v/>
      </c>
      <c r="BH102" s="23">
        <f>IF(AR102="","",IF(OR(TRIM(AO102&amp;"")&lt;&gt;"",AND(Skills!$B$15&lt;&gt;"",ISNUMBER(SEARCH(Skills!$B$15,AU102)))),1,0))</f>
        <v/>
      </c>
      <c r="BI102" s="23">
        <f>IF(AR102="","",IF(OR(TRIM(AP102&amp;"")&lt;&gt;"",AND(Skills!$B$16&lt;&gt;"",ISNUMBER(SEARCH(Skills!$B$16,AU102)))),1,0))</f>
        <v/>
      </c>
      <c r="BJ102" s="23">
        <f>IF(AR102="","",SUMPRODUCT($AX102:$BI102,Skills!$B$20:$M$20))</f>
        <v/>
      </c>
      <c r="BK102" s="23">
        <f>IF(AR102="","",BJ102*100000+(100000-ROW()))</f>
        <v/>
      </c>
      <c r="BL102" s="31">
        <f>IF(AR102="","",IF((IF(AND(AX102=1,Skills!$B$20=1),Skills!$B$5&amp;", ","")&amp;IF(AND(AY102=1,Skills!$C$20=1),Skills!$B$6&amp;", ","")&amp;IF(AND(AZ102=1,Skills!$D$20=1),Skills!$B$7&amp;", ","")&amp;IF(AND(BA102=1,Skills!$E$20=1),Skills!$B$8&amp;", ","")&amp;IF(AND(BB102=1,Skills!$F$20=1),Skills!$B$9&amp;", ","")&amp;IF(AND(BC102=1,Skills!$G$20=1),Skills!$B$10&amp;", ","")&amp;IF(AND(BD102=1,Skills!$H$20=1),Skills!$B$11&amp;", ","")&amp;IF(AND(BE102=1,Skills!$I$20=1),Skills!$B$12&amp;", ","")&amp;IF(AND(BF102=1,Skills!$J$20=1),Skills!$B$13&amp;", ","")&amp;IF(AND(BG102=1,Skills!$K$20=1),Skills!$B$14&amp;", ","")&amp;IF(AND(BH102=1,Skills!$L$20=1),Skills!$B$15&amp;", ","")&amp;IF(AND(BI102=1,Skills!$M$20=1),Skills!$B$16&amp;", ",""))="","",LEFT(IF(AND(AX102=1,Skills!$B$20=1),Skills!$B$5&amp;", ","")&amp;IF(AND(AY102=1,Skills!$C$20=1),Skills!$B$6&amp;", ","")&amp;IF(AND(AZ102=1,Skills!$D$20=1),Skills!$B$7&amp;", ","")&amp;IF(AND(BA102=1,Skills!$E$20=1),Skills!$B$8&amp;", ","")&amp;IF(AND(BB102=1,Skills!$F$20=1),Skills!$B$9&amp;", ","")&amp;IF(AND(BC102=1,Skills!$G$20=1),Skills!$B$10&amp;", ","")&amp;IF(AND(BD102=1,Skills!$H$20=1),Skills!$B$11&amp;", ","")&amp;IF(AND(BE102=1,Skills!$I$20=1),Skills!$B$12&amp;", ","")&amp;IF(AND(BF102=1,Skills!$J$20=1),Skills!$B$13&amp;", ","")&amp;IF(AND(BG102=1,Skills!$K$20=1),Skills!$B$14&amp;", ","")&amp;IF(AND(BH102=1,Skills!$L$20=1),Skills!$B$15&amp;", ","")&amp;IF(AND(BI102=1,Skills!$M$20=1),Skills!$B$16&amp;", ",""),LEN(IF(AND(AX102=1,Skills!$B$20=1),Skills!$B$5&amp;", ","")&amp;IF(AND(AY102=1,Skills!$C$20=1),Skills!$B$6&amp;", ","")&amp;IF(AND(AZ102=1,Skills!$D$20=1),Skills!$B$7&amp;", ","")&amp;IF(AND(BA102=1,Skills!$E$20=1),Skills!$B$8&amp;", ","")&amp;IF(AND(BB102=1,Skills!$F$20=1),Skills!$B$9&amp;", ","")&amp;IF(AND(BC102=1,Skills!$G$20=1),Skills!$B$10&amp;", ","")&amp;IF(AND(BD102=1,Skills!$H$20=1),Skills!$B$11&amp;", ","")&amp;IF(AND(BE102=1,Skills!$I$20=1),Skills!$B$12&amp;", ","")&amp;IF(AND(BF102=1,Skills!$J$20=1),Skills!$B$13&amp;", ","")&amp;IF(AND(BG102=1,Skills!$K$20=1),Skills!$B$14&amp;", ","")&amp;IF(AND(BH102=1,Skills!$L$20=1),Skills!$B$15&amp;", ","")&amp;IF(AND(BI102=1,Skills!$M$20=1),Skills!$B$16&amp;", ",""))-2)))</f>
        <v/>
      </c>
    </row>
    <row r="103">
      <c r="AD103" s="20" t="n"/>
      <c r="AE103" s="20" t="n"/>
      <c r="AF103" s="20" t="n"/>
      <c r="AG103" s="20" t="n"/>
      <c r="AH103" s="20" t="n"/>
      <c r="AI103" s="20" t="n"/>
      <c r="AJ103" s="20" t="n"/>
      <c r="AK103" s="20" t="n"/>
      <c r="AL103" s="20" t="n"/>
      <c r="AM103" s="20" t="n"/>
      <c r="AN103" s="20" t="n"/>
      <c r="AO103" s="20" t="n"/>
      <c r="AP103" s="20" t="n"/>
      <c r="AR103" s="31">
        <f>IF(IFERROR(TRIM(INDEX($A103:$AB103,MATCH(Lists!$B$5,$A$1:$AB$1,0))&amp;""),"")&lt;&gt;"",IFERROR(TRIM(INDEX($A103:$AB103,MATCH(Lists!$B$5,$A$1:$AB$1,0))&amp;""),""),IFERROR(TRIM(INDEX($A103:$AB103,MATCH(Lists!$B$3,$A$1:$AB$1,0))&amp;""),""))</f>
        <v/>
      </c>
      <c r="AS103" s="31">
        <f>IF(AR103="","",IF(IFERROR(TRIM(INDEX($A103:$AB103,MATCH(Lists!$B$5,$A$1:$AB$1,0))&amp;""),"")&lt;&gt;"","Nominated","Applied"))</f>
        <v/>
      </c>
      <c r="AT103" s="31">
        <f>IF(AR103="","",IF(IFERROR(TRIM(INDEX($A103:$AB103,MATCH(Lists!$B$5,$A$1:$AB$1,0))&amp;""),"")&lt;&gt;"",IFERROR(TRIM(INDEX($A103:$AB103,MATCH(Lists!$B$6,$A$1:$AB$1,0))&amp;""),""),IFERROR(TRIM(INDEX($A103:$AB103,MATCH(Lists!$B$4,$A$1:$AB$1,0))&amp;""),"")))</f>
        <v/>
      </c>
      <c r="AU103" s="31">
        <f>IF(AR103="","",IFERROR(TRIM(INDEX($A103:$AB103,MATCH(Lists!$B$7,$A$1:$AB$1,0))&amp;""),""))</f>
        <v/>
      </c>
      <c r="AV103" s="31">
        <f>IF(AR103="","",IFERROR(TRIM(INDEX($A103:$AB103,MATCH(Lists!$B$9,$A$1:$AB$1,0))&amp;""),""))</f>
        <v/>
      </c>
      <c r="AW103" s="31">
        <f>IF(AR103="","",IFERROR(TRIM(INDEX($A103:$AB103,MATCH(Lists!$B$8,$A$1:$AB$1,0))&amp;""),""))</f>
        <v/>
      </c>
      <c r="AX103" s="23">
        <f>IF(AR103="","",IF(OR(TRIM(AE103&amp;"")&lt;&gt;"",AND(Skills!$B$5&lt;&gt;"",ISNUMBER(SEARCH(Skills!$B$5,AU103)))),1,0))</f>
        <v/>
      </c>
      <c r="AY103" s="23">
        <f>IF(AR103="","",IF(OR(TRIM(AF103&amp;"")&lt;&gt;"",AND(Skills!$B$6&lt;&gt;"",ISNUMBER(SEARCH(Skills!$B$6,AU103)))),1,0))</f>
        <v/>
      </c>
      <c r="AZ103" s="23">
        <f>IF(AR103="","",IF(OR(TRIM(AG103&amp;"")&lt;&gt;"",AND(Skills!$B$7&lt;&gt;"",ISNUMBER(SEARCH(Skills!$B$7,AU103)))),1,0))</f>
        <v/>
      </c>
      <c r="BA103" s="23">
        <f>IF(AR103="","",IF(OR(TRIM(AH103&amp;"")&lt;&gt;"",AND(Skills!$B$8&lt;&gt;"",ISNUMBER(SEARCH(Skills!$B$8,AU103)))),1,0))</f>
        <v/>
      </c>
      <c r="BB103" s="23">
        <f>IF(AR103="","",IF(OR(TRIM(AI103&amp;"")&lt;&gt;"",AND(Skills!$B$9&lt;&gt;"",ISNUMBER(SEARCH(Skills!$B$9,AU103)))),1,0))</f>
        <v/>
      </c>
      <c r="BC103" s="23">
        <f>IF(AR103="","",IF(OR(TRIM(AJ103&amp;"")&lt;&gt;"",AND(Skills!$B$10&lt;&gt;"",ISNUMBER(SEARCH(Skills!$B$10,AU103)))),1,0))</f>
        <v/>
      </c>
      <c r="BD103" s="23">
        <f>IF(AR103="","",IF(OR(TRIM(AK103&amp;"")&lt;&gt;"",AND(Skills!$B$11&lt;&gt;"",ISNUMBER(SEARCH(Skills!$B$11,AU103)))),1,0))</f>
        <v/>
      </c>
      <c r="BE103" s="23">
        <f>IF(AR103="","",IF(OR(TRIM(AL103&amp;"")&lt;&gt;"",AND(Skills!$B$12&lt;&gt;"",ISNUMBER(SEARCH(Skills!$B$12,AU103)))),1,0))</f>
        <v/>
      </c>
      <c r="BF103" s="23">
        <f>IF(AR103="","",IF(OR(TRIM(AM103&amp;"")&lt;&gt;"",AND(Skills!$B$13&lt;&gt;"",ISNUMBER(SEARCH(Skills!$B$13,AU103)))),1,0))</f>
        <v/>
      </c>
      <c r="BG103" s="23">
        <f>IF(AR103="","",IF(OR(TRIM(AN103&amp;"")&lt;&gt;"",AND(Skills!$B$14&lt;&gt;"",ISNUMBER(SEARCH(Skills!$B$14,AU103)))),1,0))</f>
        <v/>
      </c>
      <c r="BH103" s="23">
        <f>IF(AR103="","",IF(OR(TRIM(AO103&amp;"")&lt;&gt;"",AND(Skills!$B$15&lt;&gt;"",ISNUMBER(SEARCH(Skills!$B$15,AU103)))),1,0))</f>
        <v/>
      </c>
      <c r="BI103" s="23">
        <f>IF(AR103="","",IF(OR(TRIM(AP103&amp;"")&lt;&gt;"",AND(Skills!$B$16&lt;&gt;"",ISNUMBER(SEARCH(Skills!$B$16,AU103)))),1,0))</f>
        <v/>
      </c>
      <c r="BJ103" s="23">
        <f>IF(AR103="","",SUMPRODUCT($AX103:$BI103,Skills!$B$20:$M$20))</f>
        <v/>
      </c>
      <c r="BK103" s="23">
        <f>IF(AR103="","",BJ103*100000+(100000-ROW()))</f>
        <v/>
      </c>
      <c r="BL103" s="31">
        <f>IF(AR103="","",IF((IF(AND(AX103=1,Skills!$B$20=1),Skills!$B$5&amp;", ","")&amp;IF(AND(AY103=1,Skills!$C$20=1),Skills!$B$6&amp;", ","")&amp;IF(AND(AZ103=1,Skills!$D$20=1),Skills!$B$7&amp;", ","")&amp;IF(AND(BA103=1,Skills!$E$20=1),Skills!$B$8&amp;", ","")&amp;IF(AND(BB103=1,Skills!$F$20=1),Skills!$B$9&amp;", ","")&amp;IF(AND(BC103=1,Skills!$G$20=1),Skills!$B$10&amp;", ","")&amp;IF(AND(BD103=1,Skills!$H$20=1),Skills!$B$11&amp;", ","")&amp;IF(AND(BE103=1,Skills!$I$20=1),Skills!$B$12&amp;", ","")&amp;IF(AND(BF103=1,Skills!$J$20=1),Skills!$B$13&amp;", ","")&amp;IF(AND(BG103=1,Skills!$K$20=1),Skills!$B$14&amp;", ","")&amp;IF(AND(BH103=1,Skills!$L$20=1),Skills!$B$15&amp;", ","")&amp;IF(AND(BI103=1,Skills!$M$20=1),Skills!$B$16&amp;", ",""))="","",LEFT(IF(AND(AX103=1,Skills!$B$20=1),Skills!$B$5&amp;", ","")&amp;IF(AND(AY103=1,Skills!$C$20=1),Skills!$B$6&amp;", ","")&amp;IF(AND(AZ103=1,Skills!$D$20=1),Skills!$B$7&amp;", ","")&amp;IF(AND(BA103=1,Skills!$E$20=1),Skills!$B$8&amp;", ","")&amp;IF(AND(BB103=1,Skills!$F$20=1),Skills!$B$9&amp;", ","")&amp;IF(AND(BC103=1,Skills!$G$20=1),Skills!$B$10&amp;", ","")&amp;IF(AND(BD103=1,Skills!$H$20=1),Skills!$B$11&amp;", ","")&amp;IF(AND(BE103=1,Skills!$I$20=1),Skills!$B$12&amp;", ","")&amp;IF(AND(BF103=1,Skills!$J$20=1),Skills!$B$13&amp;", ","")&amp;IF(AND(BG103=1,Skills!$K$20=1),Skills!$B$14&amp;", ","")&amp;IF(AND(BH103=1,Skills!$L$20=1),Skills!$B$15&amp;", ","")&amp;IF(AND(BI103=1,Skills!$M$20=1),Skills!$B$16&amp;", ",""),LEN(IF(AND(AX103=1,Skills!$B$20=1),Skills!$B$5&amp;", ","")&amp;IF(AND(AY103=1,Skills!$C$20=1),Skills!$B$6&amp;", ","")&amp;IF(AND(AZ103=1,Skills!$D$20=1),Skills!$B$7&amp;", ","")&amp;IF(AND(BA103=1,Skills!$E$20=1),Skills!$B$8&amp;", ","")&amp;IF(AND(BB103=1,Skills!$F$20=1),Skills!$B$9&amp;", ","")&amp;IF(AND(BC103=1,Skills!$G$20=1),Skills!$B$10&amp;", ","")&amp;IF(AND(BD103=1,Skills!$H$20=1),Skills!$B$11&amp;", ","")&amp;IF(AND(BE103=1,Skills!$I$20=1),Skills!$B$12&amp;", ","")&amp;IF(AND(BF103=1,Skills!$J$20=1),Skills!$B$13&amp;", ","")&amp;IF(AND(BG103=1,Skills!$K$20=1),Skills!$B$14&amp;", ","")&amp;IF(AND(BH103=1,Skills!$L$20=1),Skills!$B$15&amp;", ","")&amp;IF(AND(BI103=1,Skills!$M$20=1),Skills!$B$16&amp;", ",""))-2)))</f>
        <v/>
      </c>
    </row>
    <row r="104">
      <c r="AD104" s="20" t="n"/>
      <c r="AE104" s="20" t="n"/>
      <c r="AF104" s="20" t="n"/>
      <c r="AG104" s="20" t="n"/>
      <c r="AH104" s="20" t="n"/>
      <c r="AI104" s="20" t="n"/>
      <c r="AJ104" s="20" t="n"/>
      <c r="AK104" s="20" t="n"/>
      <c r="AL104" s="20" t="n"/>
      <c r="AM104" s="20" t="n"/>
      <c r="AN104" s="20" t="n"/>
      <c r="AO104" s="20" t="n"/>
      <c r="AP104" s="20" t="n"/>
      <c r="AR104" s="31">
        <f>IF(IFERROR(TRIM(INDEX($A104:$AB104,MATCH(Lists!$B$5,$A$1:$AB$1,0))&amp;""),"")&lt;&gt;"",IFERROR(TRIM(INDEX($A104:$AB104,MATCH(Lists!$B$5,$A$1:$AB$1,0))&amp;""),""),IFERROR(TRIM(INDEX($A104:$AB104,MATCH(Lists!$B$3,$A$1:$AB$1,0))&amp;""),""))</f>
        <v/>
      </c>
      <c r="AS104" s="31">
        <f>IF(AR104="","",IF(IFERROR(TRIM(INDEX($A104:$AB104,MATCH(Lists!$B$5,$A$1:$AB$1,0))&amp;""),"")&lt;&gt;"","Nominated","Applied"))</f>
        <v/>
      </c>
      <c r="AT104" s="31">
        <f>IF(AR104="","",IF(IFERROR(TRIM(INDEX($A104:$AB104,MATCH(Lists!$B$5,$A$1:$AB$1,0))&amp;""),"")&lt;&gt;"",IFERROR(TRIM(INDEX($A104:$AB104,MATCH(Lists!$B$6,$A$1:$AB$1,0))&amp;""),""),IFERROR(TRIM(INDEX($A104:$AB104,MATCH(Lists!$B$4,$A$1:$AB$1,0))&amp;""),"")))</f>
        <v/>
      </c>
      <c r="AU104" s="31">
        <f>IF(AR104="","",IFERROR(TRIM(INDEX($A104:$AB104,MATCH(Lists!$B$7,$A$1:$AB$1,0))&amp;""),""))</f>
        <v/>
      </c>
      <c r="AV104" s="31">
        <f>IF(AR104="","",IFERROR(TRIM(INDEX($A104:$AB104,MATCH(Lists!$B$9,$A$1:$AB$1,0))&amp;""),""))</f>
        <v/>
      </c>
      <c r="AW104" s="31">
        <f>IF(AR104="","",IFERROR(TRIM(INDEX($A104:$AB104,MATCH(Lists!$B$8,$A$1:$AB$1,0))&amp;""),""))</f>
        <v/>
      </c>
      <c r="AX104" s="23">
        <f>IF(AR104="","",IF(OR(TRIM(AE104&amp;"")&lt;&gt;"",AND(Skills!$B$5&lt;&gt;"",ISNUMBER(SEARCH(Skills!$B$5,AU104)))),1,0))</f>
        <v/>
      </c>
      <c r="AY104" s="23">
        <f>IF(AR104="","",IF(OR(TRIM(AF104&amp;"")&lt;&gt;"",AND(Skills!$B$6&lt;&gt;"",ISNUMBER(SEARCH(Skills!$B$6,AU104)))),1,0))</f>
        <v/>
      </c>
      <c r="AZ104" s="23">
        <f>IF(AR104="","",IF(OR(TRIM(AG104&amp;"")&lt;&gt;"",AND(Skills!$B$7&lt;&gt;"",ISNUMBER(SEARCH(Skills!$B$7,AU104)))),1,0))</f>
        <v/>
      </c>
      <c r="BA104" s="23">
        <f>IF(AR104="","",IF(OR(TRIM(AH104&amp;"")&lt;&gt;"",AND(Skills!$B$8&lt;&gt;"",ISNUMBER(SEARCH(Skills!$B$8,AU104)))),1,0))</f>
        <v/>
      </c>
      <c r="BB104" s="23">
        <f>IF(AR104="","",IF(OR(TRIM(AI104&amp;"")&lt;&gt;"",AND(Skills!$B$9&lt;&gt;"",ISNUMBER(SEARCH(Skills!$B$9,AU104)))),1,0))</f>
        <v/>
      </c>
      <c r="BC104" s="23">
        <f>IF(AR104="","",IF(OR(TRIM(AJ104&amp;"")&lt;&gt;"",AND(Skills!$B$10&lt;&gt;"",ISNUMBER(SEARCH(Skills!$B$10,AU104)))),1,0))</f>
        <v/>
      </c>
      <c r="BD104" s="23">
        <f>IF(AR104="","",IF(OR(TRIM(AK104&amp;"")&lt;&gt;"",AND(Skills!$B$11&lt;&gt;"",ISNUMBER(SEARCH(Skills!$B$11,AU104)))),1,0))</f>
        <v/>
      </c>
      <c r="BE104" s="23">
        <f>IF(AR104="","",IF(OR(TRIM(AL104&amp;"")&lt;&gt;"",AND(Skills!$B$12&lt;&gt;"",ISNUMBER(SEARCH(Skills!$B$12,AU104)))),1,0))</f>
        <v/>
      </c>
      <c r="BF104" s="23">
        <f>IF(AR104="","",IF(OR(TRIM(AM104&amp;"")&lt;&gt;"",AND(Skills!$B$13&lt;&gt;"",ISNUMBER(SEARCH(Skills!$B$13,AU104)))),1,0))</f>
        <v/>
      </c>
      <c r="BG104" s="23">
        <f>IF(AR104="","",IF(OR(TRIM(AN104&amp;"")&lt;&gt;"",AND(Skills!$B$14&lt;&gt;"",ISNUMBER(SEARCH(Skills!$B$14,AU104)))),1,0))</f>
        <v/>
      </c>
      <c r="BH104" s="23">
        <f>IF(AR104="","",IF(OR(TRIM(AO104&amp;"")&lt;&gt;"",AND(Skills!$B$15&lt;&gt;"",ISNUMBER(SEARCH(Skills!$B$15,AU104)))),1,0))</f>
        <v/>
      </c>
      <c r="BI104" s="23">
        <f>IF(AR104="","",IF(OR(TRIM(AP104&amp;"")&lt;&gt;"",AND(Skills!$B$16&lt;&gt;"",ISNUMBER(SEARCH(Skills!$B$16,AU104)))),1,0))</f>
        <v/>
      </c>
      <c r="BJ104" s="23">
        <f>IF(AR104="","",SUMPRODUCT($AX104:$BI104,Skills!$B$20:$M$20))</f>
        <v/>
      </c>
      <c r="BK104" s="23">
        <f>IF(AR104="","",BJ104*100000+(100000-ROW()))</f>
        <v/>
      </c>
      <c r="BL104" s="31">
        <f>IF(AR104="","",IF((IF(AND(AX104=1,Skills!$B$20=1),Skills!$B$5&amp;", ","")&amp;IF(AND(AY104=1,Skills!$C$20=1),Skills!$B$6&amp;", ","")&amp;IF(AND(AZ104=1,Skills!$D$20=1),Skills!$B$7&amp;", ","")&amp;IF(AND(BA104=1,Skills!$E$20=1),Skills!$B$8&amp;", ","")&amp;IF(AND(BB104=1,Skills!$F$20=1),Skills!$B$9&amp;", ","")&amp;IF(AND(BC104=1,Skills!$G$20=1),Skills!$B$10&amp;", ","")&amp;IF(AND(BD104=1,Skills!$H$20=1),Skills!$B$11&amp;", ","")&amp;IF(AND(BE104=1,Skills!$I$20=1),Skills!$B$12&amp;", ","")&amp;IF(AND(BF104=1,Skills!$J$20=1),Skills!$B$13&amp;", ","")&amp;IF(AND(BG104=1,Skills!$K$20=1),Skills!$B$14&amp;", ","")&amp;IF(AND(BH104=1,Skills!$L$20=1),Skills!$B$15&amp;", ","")&amp;IF(AND(BI104=1,Skills!$M$20=1),Skills!$B$16&amp;", ",""))="","",LEFT(IF(AND(AX104=1,Skills!$B$20=1),Skills!$B$5&amp;", ","")&amp;IF(AND(AY104=1,Skills!$C$20=1),Skills!$B$6&amp;", ","")&amp;IF(AND(AZ104=1,Skills!$D$20=1),Skills!$B$7&amp;", ","")&amp;IF(AND(BA104=1,Skills!$E$20=1),Skills!$B$8&amp;", ","")&amp;IF(AND(BB104=1,Skills!$F$20=1),Skills!$B$9&amp;", ","")&amp;IF(AND(BC104=1,Skills!$G$20=1),Skills!$B$10&amp;", ","")&amp;IF(AND(BD104=1,Skills!$H$20=1),Skills!$B$11&amp;", ","")&amp;IF(AND(BE104=1,Skills!$I$20=1),Skills!$B$12&amp;", ","")&amp;IF(AND(BF104=1,Skills!$J$20=1),Skills!$B$13&amp;", ","")&amp;IF(AND(BG104=1,Skills!$K$20=1),Skills!$B$14&amp;", ","")&amp;IF(AND(BH104=1,Skills!$L$20=1),Skills!$B$15&amp;", ","")&amp;IF(AND(BI104=1,Skills!$M$20=1),Skills!$B$16&amp;", ",""),LEN(IF(AND(AX104=1,Skills!$B$20=1),Skills!$B$5&amp;", ","")&amp;IF(AND(AY104=1,Skills!$C$20=1),Skills!$B$6&amp;", ","")&amp;IF(AND(AZ104=1,Skills!$D$20=1),Skills!$B$7&amp;", ","")&amp;IF(AND(BA104=1,Skills!$E$20=1),Skills!$B$8&amp;", ","")&amp;IF(AND(BB104=1,Skills!$F$20=1),Skills!$B$9&amp;", ","")&amp;IF(AND(BC104=1,Skills!$G$20=1),Skills!$B$10&amp;", ","")&amp;IF(AND(BD104=1,Skills!$H$20=1),Skills!$B$11&amp;", ","")&amp;IF(AND(BE104=1,Skills!$I$20=1),Skills!$B$12&amp;", ","")&amp;IF(AND(BF104=1,Skills!$J$20=1),Skills!$B$13&amp;", ","")&amp;IF(AND(BG104=1,Skills!$K$20=1),Skills!$B$14&amp;", ","")&amp;IF(AND(BH104=1,Skills!$L$20=1),Skills!$B$15&amp;", ","")&amp;IF(AND(BI104=1,Skills!$M$20=1),Skills!$B$16&amp;", ",""))-2)))</f>
        <v/>
      </c>
    </row>
    <row r="105">
      <c r="AD105" s="20" t="n"/>
      <c r="AE105" s="20" t="n"/>
      <c r="AF105" s="20" t="n"/>
      <c r="AG105" s="20" t="n"/>
      <c r="AH105" s="20" t="n"/>
      <c r="AI105" s="20" t="n"/>
      <c r="AJ105" s="20" t="n"/>
      <c r="AK105" s="20" t="n"/>
      <c r="AL105" s="20" t="n"/>
      <c r="AM105" s="20" t="n"/>
      <c r="AN105" s="20" t="n"/>
      <c r="AO105" s="20" t="n"/>
      <c r="AP105" s="20" t="n"/>
      <c r="AR105" s="31">
        <f>IF(IFERROR(TRIM(INDEX($A105:$AB105,MATCH(Lists!$B$5,$A$1:$AB$1,0))&amp;""),"")&lt;&gt;"",IFERROR(TRIM(INDEX($A105:$AB105,MATCH(Lists!$B$5,$A$1:$AB$1,0))&amp;""),""),IFERROR(TRIM(INDEX($A105:$AB105,MATCH(Lists!$B$3,$A$1:$AB$1,0))&amp;""),""))</f>
        <v/>
      </c>
      <c r="AS105" s="31">
        <f>IF(AR105="","",IF(IFERROR(TRIM(INDEX($A105:$AB105,MATCH(Lists!$B$5,$A$1:$AB$1,0))&amp;""),"")&lt;&gt;"","Nominated","Applied"))</f>
        <v/>
      </c>
      <c r="AT105" s="31">
        <f>IF(AR105="","",IF(IFERROR(TRIM(INDEX($A105:$AB105,MATCH(Lists!$B$5,$A$1:$AB$1,0))&amp;""),"")&lt;&gt;"",IFERROR(TRIM(INDEX($A105:$AB105,MATCH(Lists!$B$6,$A$1:$AB$1,0))&amp;""),""),IFERROR(TRIM(INDEX($A105:$AB105,MATCH(Lists!$B$4,$A$1:$AB$1,0))&amp;""),"")))</f>
        <v/>
      </c>
      <c r="AU105" s="31">
        <f>IF(AR105="","",IFERROR(TRIM(INDEX($A105:$AB105,MATCH(Lists!$B$7,$A$1:$AB$1,0))&amp;""),""))</f>
        <v/>
      </c>
      <c r="AV105" s="31">
        <f>IF(AR105="","",IFERROR(TRIM(INDEX($A105:$AB105,MATCH(Lists!$B$9,$A$1:$AB$1,0))&amp;""),""))</f>
        <v/>
      </c>
      <c r="AW105" s="31">
        <f>IF(AR105="","",IFERROR(TRIM(INDEX($A105:$AB105,MATCH(Lists!$B$8,$A$1:$AB$1,0))&amp;""),""))</f>
        <v/>
      </c>
      <c r="AX105" s="23">
        <f>IF(AR105="","",IF(OR(TRIM(AE105&amp;"")&lt;&gt;"",AND(Skills!$B$5&lt;&gt;"",ISNUMBER(SEARCH(Skills!$B$5,AU105)))),1,0))</f>
        <v/>
      </c>
      <c r="AY105" s="23">
        <f>IF(AR105="","",IF(OR(TRIM(AF105&amp;"")&lt;&gt;"",AND(Skills!$B$6&lt;&gt;"",ISNUMBER(SEARCH(Skills!$B$6,AU105)))),1,0))</f>
        <v/>
      </c>
      <c r="AZ105" s="23">
        <f>IF(AR105="","",IF(OR(TRIM(AG105&amp;"")&lt;&gt;"",AND(Skills!$B$7&lt;&gt;"",ISNUMBER(SEARCH(Skills!$B$7,AU105)))),1,0))</f>
        <v/>
      </c>
      <c r="BA105" s="23">
        <f>IF(AR105="","",IF(OR(TRIM(AH105&amp;"")&lt;&gt;"",AND(Skills!$B$8&lt;&gt;"",ISNUMBER(SEARCH(Skills!$B$8,AU105)))),1,0))</f>
        <v/>
      </c>
      <c r="BB105" s="23">
        <f>IF(AR105="","",IF(OR(TRIM(AI105&amp;"")&lt;&gt;"",AND(Skills!$B$9&lt;&gt;"",ISNUMBER(SEARCH(Skills!$B$9,AU105)))),1,0))</f>
        <v/>
      </c>
      <c r="BC105" s="23">
        <f>IF(AR105="","",IF(OR(TRIM(AJ105&amp;"")&lt;&gt;"",AND(Skills!$B$10&lt;&gt;"",ISNUMBER(SEARCH(Skills!$B$10,AU105)))),1,0))</f>
        <v/>
      </c>
      <c r="BD105" s="23">
        <f>IF(AR105="","",IF(OR(TRIM(AK105&amp;"")&lt;&gt;"",AND(Skills!$B$11&lt;&gt;"",ISNUMBER(SEARCH(Skills!$B$11,AU105)))),1,0))</f>
        <v/>
      </c>
      <c r="BE105" s="23">
        <f>IF(AR105="","",IF(OR(TRIM(AL105&amp;"")&lt;&gt;"",AND(Skills!$B$12&lt;&gt;"",ISNUMBER(SEARCH(Skills!$B$12,AU105)))),1,0))</f>
        <v/>
      </c>
      <c r="BF105" s="23">
        <f>IF(AR105="","",IF(OR(TRIM(AM105&amp;"")&lt;&gt;"",AND(Skills!$B$13&lt;&gt;"",ISNUMBER(SEARCH(Skills!$B$13,AU105)))),1,0))</f>
        <v/>
      </c>
      <c r="BG105" s="23">
        <f>IF(AR105="","",IF(OR(TRIM(AN105&amp;"")&lt;&gt;"",AND(Skills!$B$14&lt;&gt;"",ISNUMBER(SEARCH(Skills!$B$14,AU105)))),1,0))</f>
        <v/>
      </c>
      <c r="BH105" s="23">
        <f>IF(AR105="","",IF(OR(TRIM(AO105&amp;"")&lt;&gt;"",AND(Skills!$B$15&lt;&gt;"",ISNUMBER(SEARCH(Skills!$B$15,AU105)))),1,0))</f>
        <v/>
      </c>
      <c r="BI105" s="23">
        <f>IF(AR105="","",IF(OR(TRIM(AP105&amp;"")&lt;&gt;"",AND(Skills!$B$16&lt;&gt;"",ISNUMBER(SEARCH(Skills!$B$16,AU105)))),1,0))</f>
        <v/>
      </c>
      <c r="BJ105" s="23">
        <f>IF(AR105="","",SUMPRODUCT($AX105:$BI105,Skills!$B$20:$M$20))</f>
        <v/>
      </c>
      <c r="BK105" s="23">
        <f>IF(AR105="","",BJ105*100000+(100000-ROW()))</f>
        <v/>
      </c>
      <c r="BL105" s="31">
        <f>IF(AR105="","",IF((IF(AND(AX105=1,Skills!$B$20=1),Skills!$B$5&amp;", ","")&amp;IF(AND(AY105=1,Skills!$C$20=1),Skills!$B$6&amp;", ","")&amp;IF(AND(AZ105=1,Skills!$D$20=1),Skills!$B$7&amp;", ","")&amp;IF(AND(BA105=1,Skills!$E$20=1),Skills!$B$8&amp;", ","")&amp;IF(AND(BB105=1,Skills!$F$20=1),Skills!$B$9&amp;", ","")&amp;IF(AND(BC105=1,Skills!$G$20=1),Skills!$B$10&amp;", ","")&amp;IF(AND(BD105=1,Skills!$H$20=1),Skills!$B$11&amp;", ","")&amp;IF(AND(BE105=1,Skills!$I$20=1),Skills!$B$12&amp;", ","")&amp;IF(AND(BF105=1,Skills!$J$20=1),Skills!$B$13&amp;", ","")&amp;IF(AND(BG105=1,Skills!$K$20=1),Skills!$B$14&amp;", ","")&amp;IF(AND(BH105=1,Skills!$L$20=1),Skills!$B$15&amp;", ","")&amp;IF(AND(BI105=1,Skills!$M$20=1),Skills!$B$16&amp;", ",""))="","",LEFT(IF(AND(AX105=1,Skills!$B$20=1),Skills!$B$5&amp;", ","")&amp;IF(AND(AY105=1,Skills!$C$20=1),Skills!$B$6&amp;", ","")&amp;IF(AND(AZ105=1,Skills!$D$20=1),Skills!$B$7&amp;", ","")&amp;IF(AND(BA105=1,Skills!$E$20=1),Skills!$B$8&amp;", ","")&amp;IF(AND(BB105=1,Skills!$F$20=1),Skills!$B$9&amp;", ","")&amp;IF(AND(BC105=1,Skills!$G$20=1),Skills!$B$10&amp;", ","")&amp;IF(AND(BD105=1,Skills!$H$20=1),Skills!$B$11&amp;", ","")&amp;IF(AND(BE105=1,Skills!$I$20=1),Skills!$B$12&amp;", ","")&amp;IF(AND(BF105=1,Skills!$J$20=1),Skills!$B$13&amp;", ","")&amp;IF(AND(BG105=1,Skills!$K$20=1),Skills!$B$14&amp;", ","")&amp;IF(AND(BH105=1,Skills!$L$20=1),Skills!$B$15&amp;", ","")&amp;IF(AND(BI105=1,Skills!$M$20=1),Skills!$B$16&amp;", ",""),LEN(IF(AND(AX105=1,Skills!$B$20=1),Skills!$B$5&amp;", ","")&amp;IF(AND(AY105=1,Skills!$C$20=1),Skills!$B$6&amp;", ","")&amp;IF(AND(AZ105=1,Skills!$D$20=1),Skills!$B$7&amp;", ","")&amp;IF(AND(BA105=1,Skills!$E$20=1),Skills!$B$8&amp;", ","")&amp;IF(AND(BB105=1,Skills!$F$20=1),Skills!$B$9&amp;", ","")&amp;IF(AND(BC105=1,Skills!$G$20=1),Skills!$B$10&amp;", ","")&amp;IF(AND(BD105=1,Skills!$H$20=1),Skills!$B$11&amp;", ","")&amp;IF(AND(BE105=1,Skills!$I$20=1),Skills!$B$12&amp;", ","")&amp;IF(AND(BF105=1,Skills!$J$20=1),Skills!$B$13&amp;", ","")&amp;IF(AND(BG105=1,Skills!$K$20=1),Skills!$B$14&amp;", ","")&amp;IF(AND(BH105=1,Skills!$L$20=1),Skills!$B$15&amp;", ","")&amp;IF(AND(BI105=1,Skills!$M$20=1),Skills!$B$16&amp;", ",""))-2)))</f>
        <v/>
      </c>
    </row>
    <row r="106">
      <c r="AD106" s="20" t="n"/>
      <c r="AE106" s="20" t="n"/>
      <c r="AF106" s="20" t="n"/>
      <c r="AG106" s="20" t="n"/>
      <c r="AH106" s="20" t="n"/>
      <c r="AI106" s="20" t="n"/>
      <c r="AJ106" s="20" t="n"/>
      <c r="AK106" s="20" t="n"/>
      <c r="AL106" s="20" t="n"/>
      <c r="AM106" s="20" t="n"/>
      <c r="AN106" s="20" t="n"/>
      <c r="AO106" s="20" t="n"/>
      <c r="AP106" s="20" t="n"/>
      <c r="AR106" s="31">
        <f>IF(IFERROR(TRIM(INDEX($A106:$AB106,MATCH(Lists!$B$5,$A$1:$AB$1,0))&amp;""),"")&lt;&gt;"",IFERROR(TRIM(INDEX($A106:$AB106,MATCH(Lists!$B$5,$A$1:$AB$1,0))&amp;""),""),IFERROR(TRIM(INDEX($A106:$AB106,MATCH(Lists!$B$3,$A$1:$AB$1,0))&amp;""),""))</f>
        <v/>
      </c>
      <c r="AS106" s="31">
        <f>IF(AR106="","",IF(IFERROR(TRIM(INDEX($A106:$AB106,MATCH(Lists!$B$5,$A$1:$AB$1,0))&amp;""),"")&lt;&gt;"","Nominated","Applied"))</f>
        <v/>
      </c>
      <c r="AT106" s="31">
        <f>IF(AR106="","",IF(IFERROR(TRIM(INDEX($A106:$AB106,MATCH(Lists!$B$5,$A$1:$AB$1,0))&amp;""),"")&lt;&gt;"",IFERROR(TRIM(INDEX($A106:$AB106,MATCH(Lists!$B$6,$A$1:$AB$1,0))&amp;""),""),IFERROR(TRIM(INDEX($A106:$AB106,MATCH(Lists!$B$4,$A$1:$AB$1,0))&amp;""),"")))</f>
        <v/>
      </c>
      <c r="AU106" s="31">
        <f>IF(AR106="","",IFERROR(TRIM(INDEX($A106:$AB106,MATCH(Lists!$B$7,$A$1:$AB$1,0))&amp;""),""))</f>
        <v/>
      </c>
      <c r="AV106" s="31">
        <f>IF(AR106="","",IFERROR(TRIM(INDEX($A106:$AB106,MATCH(Lists!$B$9,$A$1:$AB$1,0))&amp;""),""))</f>
        <v/>
      </c>
      <c r="AW106" s="31">
        <f>IF(AR106="","",IFERROR(TRIM(INDEX($A106:$AB106,MATCH(Lists!$B$8,$A$1:$AB$1,0))&amp;""),""))</f>
        <v/>
      </c>
      <c r="AX106" s="23">
        <f>IF(AR106="","",IF(OR(TRIM(AE106&amp;"")&lt;&gt;"",AND(Skills!$B$5&lt;&gt;"",ISNUMBER(SEARCH(Skills!$B$5,AU106)))),1,0))</f>
        <v/>
      </c>
      <c r="AY106" s="23">
        <f>IF(AR106="","",IF(OR(TRIM(AF106&amp;"")&lt;&gt;"",AND(Skills!$B$6&lt;&gt;"",ISNUMBER(SEARCH(Skills!$B$6,AU106)))),1,0))</f>
        <v/>
      </c>
      <c r="AZ106" s="23">
        <f>IF(AR106="","",IF(OR(TRIM(AG106&amp;"")&lt;&gt;"",AND(Skills!$B$7&lt;&gt;"",ISNUMBER(SEARCH(Skills!$B$7,AU106)))),1,0))</f>
        <v/>
      </c>
      <c r="BA106" s="23">
        <f>IF(AR106="","",IF(OR(TRIM(AH106&amp;"")&lt;&gt;"",AND(Skills!$B$8&lt;&gt;"",ISNUMBER(SEARCH(Skills!$B$8,AU106)))),1,0))</f>
        <v/>
      </c>
      <c r="BB106" s="23">
        <f>IF(AR106="","",IF(OR(TRIM(AI106&amp;"")&lt;&gt;"",AND(Skills!$B$9&lt;&gt;"",ISNUMBER(SEARCH(Skills!$B$9,AU106)))),1,0))</f>
        <v/>
      </c>
      <c r="BC106" s="23">
        <f>IF(AR106="","",IF(OR(TRIM(AJ106&amp;"")&lt;&gt;"",AND(Skills!$B$10&lt;&gt;"",ISNUMBER(SEARCH(Skills!$B$10,AU106)))),1,0))</f>
        <v/>
      </c>
      <c r="BD106" s="23">
        <f>IF(AR106="","",IF(OR(TRIM(AK106&amp;"")&lt;&gt;"",AND(Skills!$B$11&lt;&gt;"",ISNUMBER(SEARCH(Skills!$B$11,AU106)))),1,0))</f>
        <v/>
      </c>
      <c r="BE106" s="23">
        <f>IF(AR106="","",IF(OR(TRIM(AL106&amp;"")&lt;&gt;"",AND(Skills!$B$12&lt;&gt;"",ISNUMBER(SEARCH(Skills!$B$12,AU106)))),1,0))</f>
        <v/>
      </c>
      <c r="BF106" s="23">
        <f>IF(AR106="","",IF(OR(TRIM(AM106&amp;"")&lt;&gt;"",AND(Skills!$B$13&lt;&gt;"",ISNUMBER(SEARCH(Skills!$B$13,AU106)))),1,0))</f>
        <v/>
      </c>
      <c r="BG106" s="23">
        <f>IF(AR106="","",IF(OR(TRIM(AN106&amp;"")&lt;&gt;"",AND(Skills!$B$14&lt;&gt;"",ISNUMBER(SEARCH(Skills!$B$14,AU106)))),1,0))</f>
        <v/>
      </c>
      <c r="BH106" s="23">
        <f>IF(AR106="","",IF(OR(TRIM(AO106&amp;"")&lt;&gt;"",AND(Skills!$B$15&lt;&gt;"",ISNUMBER(SEARCH(Skills!$B$15,AU106)))),1,0))</f>
        <v/>
      </c>
      <c r="BI106" s="23">
        <f>IF(AR106="","",IF(OR(TRIM(AP106&amp;"")&lt;&gt;"",AND(Skills!$B$16&lt;&gt;"",ISNUMBER(SEARCH(Skills!$B$16,AU106)))),1,0))</f>
        <v/>
      </c>
      <c r="BJ106" s="23">
        <f>IF(AR106="","",SUMPRODUCT($AX106:$BI106,Skills!$B$20:$M$20))</f>
        <v/>
      </c>
      <c r="BK106" s="23">
        <f>IF(AR106="","",BJ106*100000+(100000-ROW()))</f>
        <v/>
      </c>
      <c r="BL106" s="31">
        <f>IF(AR106="","",IF((IF(AND(AX106=1,Skills!$B$20=1),Skills!$B$5&amp;", ","")&amp;IF(AND(AY106=1,Skills!$C$20=1),Skills!$B$6&amp;", ","")&amp;IF(AND(AZ106=1,Skills!$D$20=1),Skills!$B$7&amp;", ","")&amp;IF(AND(BA106=1,Skills!$E$20=1),Skills!$B$8&amp;", ","")&amp;IF(AND(BB106=1,Skills!$F$20=1),Skills!$B$9&amp;", ","")&amp;IF(AND(BC106=1,Skills!$G$20=1),Skills!$B$10&amp;", ","")&amp;IF(AND(BD106=1,Skills!$H$20=1),Skills!$B$11&amp;", ","")&amp;IF(AND(BE106=1,Skills!$I$20=1),Skills!$B$12&amp;", ","")&amp;IF(AND(BF106=1,Skills!$J$20=1),Skills!$B$13&amp;", ","")&amp;IF(AND(BG106=1,Skills!$K$20=1),Skills!$B$14&amp;", ","")&amp;IF(AND(BH106=1,Skills!$L$20=1),Skills!$B$15&amp;", ","")&amp;IF(AND(BI106=1,Skills!$M$20=1),Skills!$B$16&amp;", ",""))="","",LEFT(IF(AND(AX106=1,Skills!$B$20=1),Skills!$B$5&amp;", ","")&amp;IF(AND(AY106=1,Skills!$C$20=1),Skills!$B$6&amp;", ","")&amp;IF(AND(AZ106=1,Skills!$D$20=1),Skills!$B$7&amp;", ","")&amp;IF(AND(BA106=1,Skills!$E$20=1),Skills!$B$8&amp;", ","")&amp;IF(AND(BB106=1,Skills!$F$20=1),Skills!$B$9&amp;", ","")&amp;IF(AND(BC106=1,Skills!$G$20=1),Skills!$B$10&amp;", ","")&amp;IF(AND(BD106=1,Skills!$H$20=1),Skills!$B$11&amp;", ","")&amp;IF(AND(BE106=1,Skills!$I$20=1),Skills!$B$12&amp;", ","")&amp;IF(AND(BF106=1,Skills!$J$20=1),Skills!$B$13&amp;", ","")&amp;IF(AND(BG106=1,Skills!$K$20=1),Skills!$B$14&amp;", ","")&amp;IF(AND(BH106=1,Skills!$L$20=1),Skills!$B$15&amp;", ","")&amp;IF(AND(BI106=1,Skills!$M$20=1),Skills!$B$16&amp;", ",""),LEN(IF(AND(AX106=1,Skills!$B$20=1),Skills!$B$5&amp;", ","")&amp;IF(AND(AY106=1,Skills!$C$20=1),Skills!$B$6&amp;", ","")&amp;IF(AND(AZ106=1,Skills!$D$20=1),Skills!$B$7&amp;", ","")&amp;IF(AND(BA106=1,Skills!$E$20=1),Skills!$B$8&amp;", ","")&amp;IF(AND(BB106=1,Skills!$F$20=1),Skills!$B$9&amp;", ","")&amp;IF(AND(BC106=1,Skills!$G$20=1),Skills!$B$10&amp;", ","")&amp;IF(AND(BD106=1,Skills!$H$20=1),Skills!$B$11&amp;", ","")&amp;IF(AND(BE106=1,Skills!$I$20=1),Skills!$B$12&amp;", ","")&amp;IF(AND(BF106=1,Skills!$J$20=1),Skills!$B$13&amp;", ","")&amp;IF(AND(BG106=1,Skills!$K$20=1),Skills!$B$14&amp;", ","")&amp;IF(AND(BH106=1,Skills!$L$20=1),Skills!$B$15&amp;", ","")&amp;IF(AND(BI106=1,Skills!$M$20=1),Skills!$B$16&amp;", ",""))-2)))</f>
        <v/>
      </c>
    </row>
    <row r="107">
      <c r="AD107" s="20" t="n"/>
      <c r="AE107" s="20" t="n"/>
      <c r="AF107" s="20" t="n"/>
      <c r="AG107" s="20" t="n"/>
      <c r="AH107" s="20" t="n"/>
      <c r="AI107" s="20" t="n"/>
      <c r="AJ107" s="20" t="n"/>
      <c r="AK107" s="20" t="n"/>
      <c r="AL107" s="20" t="n"/>
      <c r="AM107" s="20" t="n"/>
      <c r="AN107" s="20" t="n"/>
      <c r="AO107" s="20" t="n"/>
      <c r="AP107" s="20" t="n"/>
      <c r="AR107" s="31">
        <f>IF(IFERROR(TRIM(INDEX($A107:$AB107,MATCH(Lists!$B$5,$A$1:$AB$1,0))&amp;""),"")&lt;&gt;"",IFERROR(TRIM(INDEX($A107:$AB107,MATCH(Lists!$B$5,$A$1:$AB$1,0))&amp;""),""),IFERROR(TRIM(INDEX($A107:$AB107,MATCH(Lists!$B$3,$A$1:$AB$1,0))&amp;""),""))</f>
        <v/>
      </c>
      <c r="AS107" s="31">
        <f>IF(AR107="","",IF(IFERROR(TRIM(INDEX($A107:$AB107,MATCH(Lists!$B$5,$A$1:$AB$1,0))&amp;""),"")&lt;&gt;"","Nominated","Applied"))</f>
        <v/>
      </c>
      <c r="AT107" s="31">
        <f>IF(AR107="","",IF(IFERROR(TRIM(INDEX($A107:$AB107,MATCH(Lists!$B$5,$A$1:$AB$1,0))&amp;""),"")&lt;&gt;"",IFERROR(TRIM(INDEX($A107:$AB107,MATCH(Lists!$B$6,$A$1:$AB$1,0))&amp;""),""),IFERROR(TRIM(INDEX($A107:$AB107,MATCH(Lists!$B$4,$A$1:$AB$1,0))&amp;""),"")))</f>
        <v/>
      </c>
      <c r="AU107" s="31">
        <f>IF(AR107="","",IFERROR(TRIM(INDEX($A107:$AB107,MATCH(Lists!$B$7,$A$1:$AB$1,0))&amp;""),""))</f>
        <v/>
      </c>
      <c r="AV107" s="31">
        <f>IF(AR107="","",IFERROR(TRIM(INDEX($A107:$AB107,MATCH(Lists!$B$9,$A$1:$AB$1,0))&amp;""),""))</f>
        <v/>
      </c>
      <c r="AW107" s="31">
        <f>IF(AR107="","",IFERROR(TRIM(INDEX($A107:$AB107,MATCH(Lists!$B$8,$A$1:$AB$1,0))&amp;""),""))</f>
        <v/>
      </c>
      <c r="AX107" s="23">
        <f>IF(AR107="","",IF(OR(TRIM(AE107&amp;"")&lt;&gt;"",AND(Skills!$B$5&lt;&gt;"",ISNUMBER(SEARCH(Skills!$B$5,AU107)))),1,0))</f>
        <v/>
      </c>
      <c r="AY107" s="23">
        <f>IF(AR107="","",IF(OR(TRIM(AF107&amp;"")&lt;&gt;"",AND(Skills!$B$6&lt;&gt;"",ISNUMBER(SEARCH(Skills!$B$6,AU107)))),1,0))</f>
        <v/>
      </c>
      <c r="AZ107" s="23">
        <f>IF(AR107="","",IF(OR(TRIM(AG107&amp;"")&lt;&gt;"",AND(Skills!$B$7&lt;&gt;"",ISNUMBER(SEARCH(Skills!$B$7,AU107)))),1,0))</f>
        <v/>
      </c>
      <c r="BA107" s="23">
        <f>IF(AR107="","",IF(OR(TRIM(AH107&amp;"")&lt;&gt;"",AND(Skills!$B$8&lt;&gt;"",ISNUMBER(SEARCH(Skills!$B$8,AU107)))),1,0))</f>
        <v/>
      </c>
      <c r="BB107" s="23">
        <f>IF(AR107="","",IF(OR(TRIM(AI107&amp;"")&lt;&gt;"",AND(Skills!$B$9&lt;&gt;"",ISNUMBER(SEARCH(Skills!$B$9,AU107)))),1,0))</f>
        <v/>
      </c>
      <c r="BC107" s="23">
        <f>IF(AR107="","",IF(OR(TRIM(AJ107&amp;"")&lt;&gt;"",AND(Skills!$B$10&lt;&gt;"",ISNUMBER(SEARCH(Skills!$B$10,AU107)))),1,0))</f>
        <v/>
      </c>
      <c r="BD107" s="23">
        <f>IF(AR107="","",IF(OR(TRIM(AK107&amp;"")&lt;&gt;"",AND(Skills!$B$11&lt;&gt;"",ISNUMBER(SEARCH(Skills!$B$11,AU107)))),1,0))</f>
        <v/>
      </c>
      <c r="BE107" s="23">
        <f>IF(AR107="","",IF(OR(TRIM(AL107&amp;"")&lt;&gt;"",AND(Skills!$B$12&lt;&gt;"",ISNUMBER(SEARCH(Skills!$B$12,AU107)))),1,0))</f>
        <v/>
      </c>
      <c r="BF107" s="23">
        <f>IF(AR107="","",IF(OR(TRIM(AM107&amp;"")&lt;&gt;"",AND(Skills!$B$13&lt;&gt;"",ISNUMBER(SEARCH(Skills!$B$13,AU107)))),1,0))</f>
        <v/>
      </c>
      <c r="BG107" s="23">
        <f>IF(AR107="","",IF(OR(TRIM(AN107&amp;"")&lt;&gt;"",AND(Skills!$B$14&lt;&gt;"",ISNUMBER(SEARCH(Skills!$B$14,AU107)))),1,0))</f>
        <v/>
      </c>
      <c r="BH107" s="23">
        <f>IF(AR107="","",IF(OR(TRIM(AO107&amp;"")&lt;&gt;"",AND(Skills!$B$15&lt;&gt;"",ISNUMBER(SEARCH(Skills!$B$15,AU107)))),1,0))</f>
        <v/>
      </c>
      <c r="BI107" s="23">
        <f>IF(AR107="","",IF(OR(TRIM(AP107&amp;"")&lt;&gt;"",AND(Skills!$B$16&lt;&gt;"",ISNUMBER(SEARCH(Skills!$B$16,AU107)))),1,0))</f>
        <v/>
      </c>
      <c r="BJ107" s="23">
        <f>IF(AR107="","",SUMPRODUCT($AX107:$BI107,Skills!$B$20:$M$20))</f>
        <v/>
      </c>
      <c r="BK107" s="23">
        <f>IF(AR107="","",BJ107*100000+(100000-ROW()))</f>
        <v/>
      </c>
      <c r="BL107" s="31">
        <f>IF(AR107="","",IF((IF(AND(AX107=1,Skills!$B$20=1),Skills!$B$5&amp;", ","")&amp;IF(AND(AY107=1,Skills!$C$20=1),Skills!$B$6&amp;", ","")&amp;IF(AND(AZ107=1,Skills!$D$20=1),Skills!$B$7&amp;", ","")&amp;IF(AND(BA107=1,Skills!$E$20=1),Skills!$B$8&amp;", ","")&amp;IF(AND(BB107=1,Skills!$F$20=1),Skills!$B$9&amp;", ","")&amp;IF(AND(BC107=1,Skills!$G$20=1),Skills!$B$10&amp;", ","")&amp;IF(AND(BD107=1,Skills!$H$20=1),Skills!$B$11&amp;", ","")&amp;IF(AND(BE107=1,Skills!$I$20=1),Skills!$B$12&amp;", ","")&amp;IF(AND(BF107=1,Skills!$J$20=1),Skills!$B$13&amp;", ","")&amp;IF(AND(BG107=1,Skills!$K$20=1),Skills!$B$14&amp;", ","")&amp;IF(AND(BH107=1,Skills!$L$20=1),Skills!$B$15&amp;", ","")&amp;IF(AND(BI107=1,Skills!$M$20=1),Skills!$B$16&amp;", ",""))="","",LEFT(IF(AND(AX107=1,Skills!$B$20=1),Skills!$B$5&amp;", ","")&amp;IF(AND(AY107=1,Skills!$C$20=1),Skills!$B$6&amp;", ","")&amp;IF(AND(AZ107=1,Skills!$D$20=1),Skills!$B$7&amp;", ","")&amp;IF(AND(BA107=1,Skills!$E$20=1),Skills!$B$8&amp;", ","")&amp;IF(AND(BB107=1,Skills!$F$20=1),Skills!$B$9&amp;", ","")&amp;IF(AND(BC107=1,Skills!$G$20=1),Skills!$B$10&amp;", ","")&amp;IF(AND(BD107=1,Skills!$H$20=1),Skills!$B$11&amp;", ","")&amp;IF(AND(BE107=1,Skills!$I$20=1),Skills!$B$12&amp;", ","")&amp;IF(AND(BF107=1,Skills!$J$20=1),Skills!$B$13&amp;", ","")&amp;IF(AND(BG107=1,Skills!$K$20=1),Skills!$B$14&amp;", ","")&amp;IF(AND(BH107=1,Skills!$L$20=1),Skills!$B$15&amp;", ","")&amp;IF(AND(BI107=1,Skills!$M$20=1),Skills!$B$16&amp;", ",""),LEN(IF(AND(AX107=1,Skills!$B$20=1),Skills!$B$5&amp;", ","")&amp;IF(AND(AY107=1,Skills!$C$20=1),Skills!$B$6&amp;", ","")&amp;IF(AND(AZ107=1,Skills!$D$20=1),Skills!$B$7&amp;", ","")&amp;IF(AND(BA107=1,Skills!$E$20=1),Skills!$B$8&amp;", ","")&amp;IF(AND(BB107=1,Skills!$F$20=1),Skills!$B$9&amp;", ","")&amp;IF(AND(BC107=1,Skills!$G$20=1),Skills!$B$10&amp;", ","")&amp;IF(AND(BD107=1,Skills!$H$20=1),Skills!$B$11&amp;", ","")&amp;IF(AND(BE107=1,Skills!$I$20=1),Skills!$B$12&amp;", ","")&amp;IF(AND(BF107=1,Skills!$J$20=1),Skills!$B$13&amp;", ","")&amp;IF(AND(BG107=1,Skills!$K$20=1),Skills!$B$14&amp;", ","")&amp;IF(AND(BH107=1,Skills!$L$20=1),Skills!$B$15&amp;", ","")&amp;IF(AND(BI107=1,Skills!$M$20=1),Skills!$B$16&amp;", ",""))-2)))</f>
        <v/>
      </c>
    </row>
    <row r="108">
      <c r="AD108" s="20" t="n"/>
      <c r="AE108" s="20" t="n"/>
      <c r="AF108" s="20" t="n"/>
      <c r="AG108" s="20" t="n"/>
      <c r="AH108" s="20" t="n"/>
      <c r="AI108" s="20" t="n"/>
      <c r="AJ108" s="20" t="n"/>
      <c r="AK108" s="20" t="n"/>
      <c r="AL108" s="20" t="n"/>
      <c r="AM108" s="20" t="n"/>
      <c r="AN108" s="20" t="n"/>
      <c r="AO108" s="20" t="n"/>
      <c r="AP108" s="20" t="n"/>
      <c r="AR108" s="31">
        <f>IF(IFERROR(TRIM(INDEX($A108:$AB108,MATCH(Lists!$B$5,$A$1:$AB$1,0))&amp;""),"")&lt;&gt;"",IFERROR(TRIM(INDEX($A108:$AB108,MATCH(Lists!$B$5,$A$1:$AB$1,0))&amp;""),""),IFERROR(TRIM(INDEX($A108:$AB108,MATCH(Lists!$B$3,$A$1:$AB$1,0))&amp;""),""))</f>
        <v/>
      </c>
      <c r="AS108" s="31">
        <f>IF(AR108="","",IF(IFERROR(TRIM(INDEX($A108:$AB108,MATCH(Lists!$B$5,$A$1:$AB$1,0))&amp;""),"")&lt;&gt;"","Nominated","Applied"))</f>
        <v/>
      </c>
      <c r="AT108" s="31">
        <f>IF(AR108="","",IF(IFERROR(TRIM(INDEX($A108:$AB108,MATCH(Lists!$B$5,$A$1:$AB$1,0))&amp;""),"")&lt;&gt;"",IFERROR(TRIM(INDEX($A108:$AB108,MATCH(Lists!$B$6,$A$1:$AB$1,0))&amp;""),""),IFERROR(TRIM(INDEX($A108:$AB108,MATCH(Lists!$B$4,$A$1:$AB$1,0))&amp;""),"")))</f>
        <v/>
      </c>
      <c r="AU108" s="31">
        <f>IF(AR108="","",IFERROR(TRIM(INDEX($A108:$AB108,MATCH(Lists!$B$7,$A$1:$AB$1,0))&amp;""),""))</f>
        <v/>
      </c>
      <c r="AV108" s="31">
        <f>IF(AR108="","",IFERROR(TRIM(INDEX($A108:$AB108,MATCH(Lists!$B$9,$A$1:$AB$1,0))&amp;""),""))</f>
        <v/>
      </c>
      <c r="AW108" s="31">
        <f>IF(AR108="","",IFERROR(TRIM(INDEX($A108:$AB108,MATCH(Lists!$B$8,$A$1:$AB$1,0))&amp;""),""))</f>
        <v/>
      </c>
      <c r="AX108" s="23">
        <f>IF(AR108="","",IF(OR(TRIM(AE108&amp;"")&lt;&gt;"",AND(Skills!$B$5&lt;&gt;"",ISNUMBER(SEARCH(Skills!$B$5,AU108)))),1,0))</f>
        <v/>
      </c>
      <c r="AY108" s="23">
        <f>IF(AR108="","",IF(OR(TRIM(AF108&amp;"")&lt;&gt;"",AND(Skills!$B$6&lt;&gt;"",ISNUMBER(SEARCH(Skills!$B$6,AU108)))),1,0))</f>
        <v/>
      </c>
      <c r="AZ108" s="23">
        <f>IF(AR108="","",IF(OR(TRIM(AG108&amp;"")&lt;&gt;"",AND(Skills!$B$7&lt;&gt;"",ISNUMBER(SEARCH(Skills!$B$7,AU108)))),1,0))</f>
        <v/>
      </c>
      <c r="BA108" s="23">
        <f>IF(AR108="","",IF(OR(TRIM(AH108&amp;"")&lt;&gt;"",AND(Skills!$B$8&lt;&gt;"",ISNUMBER(SEARCH(Skills!$B$8,AU108)))),1,0))</f>
        <v/>
      </c>
      <c r="BB108" s="23">
        <f>IF(AR108="","",IF(OR(TRIM(AI108&amp;"")&lt;&gt;"",AND(Skills!$B$9&lt;&gt;"",ISNUMBER(SEARCH(Skills!$B$9,AU108)))),1,0))</f>
        <v/>
      </c>
      <c r="BC108" s="23">
        <f>IF(AR108="","",IF(OR(TRIM(AJ108&amp;"")&lt;&gt;"",AND(Skills!$B$10&lt;&gt;"",ISNUMBER(SEARCH(Skills!$B$10,AU108)))),1,0))</f>
        <v/>
      </c>
      <c r="BD108" s="23">
        <f>IF(AR108="","",IF(OR(TRIM(AK108&amp;"")&lt;&gt;"",AND(Skills!$B$11&lt;&gt;"",ISNUMBER(SEARCH(Skills!$B$11,AU108)))),1,0))</f>
        <v/>
      </c>
      <c r="BE108" s="23">
        <f>IF(AR108="","",IF(OR(TRIM(AL108&amp;"")&lt;&gt;"",AND(Skills!$B$12&lt;&gt;"",ISNUMBER(SEARCH(Skills!$B$12,AU108)))),1,0))</f>
        <v/>
      </c>
      <c r="BF108" s="23">
        <f>IF(AR108="","",IF(OR(TRIM(AM108&amp;"")&lt;&gt;"",AND(Skills!$B$13&lt;&gt;"",ISNUMBER(SEARCH(Skills!$B$13,AU108)))),1,0))</f>
        <v/>
      </c>
      <c r="BG108" s="23">
        <f>IF(AR108="","",IF(OR(TRIM(AN108&amp;"")&lt;&gt;"",AND(Skills!$B$14&lt;&gt;"",ISNUMBER(SEARCH(Skills!$B$14,AU108)))),1,0))</f>
        <v/>
      </c>
      <c r="BH108" s="23">
        <f>IF(AR108="","",IF(OR(TRIM(AO108&amp;"")&lt;&gt;"",AND(Skills!$B$15&lt;&gt;"",ISNUMBER(SEARCH(Skills!$B$15,AU108)))),1,0))</f>
        <v/>
      </c>
      <c r="BI108" s="23">
        <f>IF(AR108="","",IF(OR(TRIM(AP108&amp;"")&lt;&gt;"",AND(Skills!$B$16&lt;&gt;"",ISNUMBER(SEARCH(Skills!$B$16,AU108)))),1,0))</f>
        <v/>
      </c>
      <c r="BJ108" s="23">
        <f>IF(AR108="","",SUMPRODUCT($AX108:$BI108,Skills!$B$20:$M$20))</f>
        <v/>
      </c>
      <c r="BK108" s="23">
        <f>IF(AR108="","",BJ108*100000+(100000-ROW()))</f>
        <v/>
      </c>
      <c r="BL108" s="31">
        <f>IF(AR108="","",IF((IF(AND(AX108=1,Skills!$B$20=1),Skills!$B$5&amp;", ","")&amp;IF(AND(AY108=1,Skills!$C$20=1),Skills!$B$6&amp;", ","")&amp;IF(AND(AZ108=1,Skills!$D$20=1),Skills!$B$7&amp;", ","")&amp;IF(AND(BA108=1,Skills!$E$20=1),Skills!$B$8&amp;", ","")&amp;IF(AND(BB108=1,Skills!$F$20=1),Skills!$B$9&amp;", ","")&amp;IF(AND(BC108=1,Skills!$G$20=1),Skills!$B$10&amp;", ","")&amp;IF(AND(BD108=1,Skills!$H$20=1),Skills!$B$11&amp;", ","")&amp;IF(AND(BE108=1,Skills!$I$20=1),Skills!$B$12&amp;", ","")&amp;IF(AND(BF108=1,Skills!$J$20=1),Skills!$B$13&amp;", ","")&amp;IF(AND(BG108=1,Skills!$K$20=1),Skills!$B$14&amp;", ","")&amp;IF(AND(BH108=1,Skills!$L$20=1),Skills!$B$15&amp;", ","")&amp;IF(AND(BI108=1,Skills!$M$20=1),Skills!$B$16&amp;", ",""))="","",LEFT(IF(AND(AX108=1,Skills!$B$20=1),Skills!$B$5&amp;", ","")&amp;IF(AND(AY108=1,Skills!$C$20=1),Skills!$B$6&amp;", ","")&amp;IF(AND(AZ108=1,Skills!$D$20=1),Skills!$B$7&amp;", ","")&amp;IF(AND(BA108=1,Skills!$E$20=1),Skills!$B$8&amp;", ","")&amp;IF(AND(BB108=1,Skills!$F$20=1),Skills!$B$9&amp;", ","")&amp;IF(AND(BC108=1,Skills!$G$20=1),Skills!$B$10&amp;", ","")&amp;IF(AND(BD108=1,Skills!$H$20=1),Skills!$B$11&amp;", ","")&amp;IF(AND(BE108=1,Skills!$I$20=1),Skills!$B$12&amp;", ","")&amp;IF(AND(BF108=1,Skills!$J$20=1),Skills!$B$13&amp;", ","")&amp;IF(AND(BG108=1,Skills!$K$20=1),Skills!$B$14&amp;", ","")&amp;IF(AND(BH108=1,Skills!$L$20=1),Skills!$B$15&amp;", ","")&amp;IF(AND(BI108=1,Skills!$M$20=1),Skills!$B$16&amp;", ",""),LEN(IF(AND(AX108=1,Skills!$B$20=1),Skills!$B$5&amp;", ","")&amp;IF(AND(AY108=1,Skills!$C$20=1),Skills!$B$6&amp;", ","")&amp;IF(AND(AZ108=1,Skills!$D$20=1),Skills!$B$7&amp;", ","")&amp;IF(AND(BA108=1,Skills!$E$20=1),Skills!$B$8&amp;", ","")&amp;IF(AND(BB108=1,Skills!$F$20=1),Skills!$B$9&amp;", ","")&amp;IF(AND(BC108=1,Skills!$G$20=1),Skills!$B$10&amp;", ","")&amp;IF(AND(BD108=1,Skills!$H$20=1),Skills!$B$11&amp;", ","")&amp;IF(AND(BE108=1,Skills!$I$20=1),Skills!$B$12&amp;", ","")&amp;IF(AND(BF108=1,Skills!$J$20=1),Skills!$B$13&amp;", ","")&amp;IF(AND(BG108=1,Skills!$K$20=1),Skills!$B$14&amp;", ","")&amp;IF(AND(BH108=1,Skills!$L$20=1),Skills!$B$15&amp;", ","")&amp;IF(AND(BI108=1,Skills!$M$20=1),Skills!$B$16&amp;", ",""))-2)))</f>
        <v/>
      </c>
    </row>
    <row r="109">
      <c r="AD109" s="20" t="n"/>
      <c r="AE109" s="20" t="n"/>
      <c r="AF109" s="20" t="n"/>
      <c r="AG109" s="20" t="n"/>
      <c r="AH109" s="20" t="n"/>
      <c r="AI109" s="20" t="n"/>
      <c r="AJ109" s="20" t="n"/>
      <c r="AK109" s="20" t="n"/>
      <c r="AL109" s="20" t="n"/>
      <c r="AM109" s="20" t="n"/>
      <c r="AN109" s="20" t="n"/>
      <c r="AO109" s="20" t="n"/>
      <c r="AP109" s="20" t="n"/>
      <c r="AR109" s="31">
        <f>IF(IFERROR(TRIM(INDEX($A109:$AB109,MATCH(Lists!$B$5,$A$1:$AB$1,0))&amp;""),"")&lt;&gt;"",IFERROR(TRIM(INDEX($A109:$AB109,MATCH(Lists!$B$5,$A$1:$AB$1,0))&amp;""),""),IFERROR(TRIM(INDEX($A109:$AB109,MATCH(Lists!$B$3,$A$1:$AB$1,0))&amp;""),""))</f>
        <v/>
      </c>
      <c r="AS109" s="31">
        <f>IF(AR109="","",IF(IFERROR(TRIM(INDEX($A109:$AB109,MATCH(Lists!$B$5,$A$1:$AB$1,0))&amp;""),"")&lt;&gt;"","Nominated","Applied"))</f>
        <v/>
      </c>
      <c r="AT109" s="31">
        <f>IF(AR109="","",IF(IFERROR(TRIM(INDEX($A109:$AB109,MATCH(Lists!$B$5,$A$1:$AB$1,0))&amp;""),"")&lt;&gt;"",IFERROR(TRIM(INDEX($A109:$AB109,MATCH(Lists!$B$6,$A$1:$AB$1,0))&amp;""),""),IFERROR(TRIM(INDEX($A109:$AB109,MATCH(Lists!$B$4,$A$1:$AB$1,0))&amp;""),"")))</f>
        <v/>
      </c>
      <c r="AU109" s="31">
        <f>IF(AR109="","",IFERROR(TRIM(INDEX($A109:$AB109,MATCH(Lists!$B$7,$A$1:$AB$1,0))&amp;""),""))</f>
        <v/>
      </c>
      <c r="AV109" s="31">
        <f>IF(AR109="","",IFERROR(TRIM(INDEX($A109:$AB109,MATCH(Lists!$B$9,$A$1:$AB$1,0))&amp;""),""))</f>
        <v/>
      </c>
      <c r="AW109" s="31">
        <f>IF(AR109="","",IFERROR(TRIM(INDEX($A109:$AB109,MATCH(Lists!$B$8,$A$1:$AB$1,0))&amp;""),""))</f>
        <v/>
      </c>
      <c r="AX109" s="23">
        <f>IF(AR109="","",IF(OR(TRIM(AE109&amp;"")&lt;&gt;"",AND(Skills!$B$5&lt;&gt;"",ISNUMBER(SEARCH(Skills!$B$5,AU109)))),1,0))</f>
        <v/>
      </c>
      <c r="AY109" s="23">
        <f>IF(AR109="","",IF(OR(TRIM(AF109&amp;"")&lt;&gt;"",AND(Skills!$B$6&lt;&gt;"",ISNUMBER(SEARCH(Skills!$B$6,AU109)))),1,0))</f>
        <v/>
      </c>
      <c r="AZ109" s="23">
        <f>IF(AR109="","",IF(OR(TRIM(AG109&amp;"")&lt;&gt;"",AND(Skills!$B$7&lt;&gt;"",ISNUMBER(SEARCH(Skills!$B$7,AU109)))),1,0))</f>
        <v/>
      </c>
      <c r="BA109" s="23">
        <f>IF(AR109="","",IF(OR(TRIM(AH109&amp;"")&lt;&gt;"",AND(Skills!$B$8&lt;&gt;"",ISNUMBER(SEARCH(Skills!$B$8,AU109)))),1,0))</f>
        <v/>
      </c>
      <c r="BB109" s="23">
        <f>IF(AR109="","",IF(OR(TRIM(AI109&amp;"")&lt;&gt;"",AND(Skills!$B$9&lt;&gt;"",ISNUMBER(SEARCH(Skills!$B$9,AU109)))),1,0))</f>
        <v/>
      </c>
      <c r="BC109" s="23">
        <f>IF(AR109="","",IF(OR(TRIM(AJ109&amp;"")&lt;&gt;"",AND(Skills!$B$10&lt;&gt;"",ISNUMBER(SEARCH(Skills!$B$10,AU109)))),1,0))</f>
        <v/>
      </c>
      <c r="BD109" s="23">
        <f>IF(AR109="","",IF(OR(TRIM(AK109&amp;"")&lt;&gt;"",AND(Skills!$B$11&lt;&gt;"",ISNUMBER(SEARCH(Skills!$B$11,AU109)))),1,0))</f>
        <v/>
      </c>
      <c r="BE109" s="23">
        <f>IF(AR109="","",IF(OR(TRIM(AL109&amp;"")&lt;&gt;"",AND(Skills!$B$12&lt;&gt;"",ISNUMBER(SEARCH(Skills!$B$12,AU109)))),1,0))</f>
        <v/>
      </c>
      <c r="BF109" s="23">
        <f>IF(AR109="","",IF(OR(TRIM(AM109&amp;"")&lt;&gt;"",AND(Skills!$B$13&lt;&gt;"",ISNUMBER(SEARCH(Skills!$B$13,AU109)))),1,0))</f>
        <v/>
      </c>
      <c r="BG109" s="23">
        <f>IF(AR109="","",IF(OR(TRIM(AN109&amp;"")&lt;&gt;"",AND(Skills!$B$14&lt;&gt;"",ISNUMBER(SEARCH(Skills!$B$14,AU109)))),1,0))</f>
        <v/>
      </c>
      <c r="BH109" s="23">
        <f>IF(AR109="","",IF(OR(TRIM(AO109&amp;"")&lt;&gt;"",AND(Skills!$B$15&lt;&gt;"",ISNUMBER(SEARCH(Skills!$B$15,AU109)))),1,0))</f>
        <v/>
      </c>
      <c r="BI109" s="23">
        <f>IF(AR109="","",IF(OR(TRIM(AP109&amp;"")&lt;&gt;"",AND(Skills!$B$16&lt;&gt;"",ISNUMBER(SEARCH(Skills!$B$16,AU109)))),1,0))</f>
        <v/>
      </c>
      <c r="BJ109" s="23">
        <f>IF(AR109="","",SUMPRODUCT($AX109:$BI109,Skills!$B$20:$M$20))</f>
        <v/>
      </c>
      <c r="BK109" s="23">
        <f>IF(AR109="","",BJ109*100000+(100000-ROW()))</f>
        <v/>
      </c>
      <c r="BL109" s="31">
        <f>IF(AR109="","",IF((IF(AND(AX109=1,Skills!$B$20=1),Skills!$B$5&amp;", ","")&amp;IF(AND(AY109=1,Skills!$C$20=1),Skills!$B$6&amp;", ","")&amp;IF(AND(AZ109=1,Skills!$D$20=1),Skills!$B$7&amp;", ","")&amp;IF(AND(BA109=1,Skills!$E$20=1),Skills!$B$8&amp;", ","")&amp;IF(AND(BB109=1,Skills!$F$20=1),Skills!$B$9&amp;", ","")&amp;IF(AND(BC109=1,Skills!$G$20=1),Skills!$B$10&amp;", ","")&amp;IF(AND(BD109=1,Skills!$H$20=1),Skills!$B$11&amp;", ","")&amp;IF(AND(BE109=1,Skills!$I$20=1),Skills!$B$12&amp;", ","")&amp;IF(AND(BF109=1,Skills!$J$20=1),Skills!$B$13&amp;", ","")&amp;IF(AND(BG109=1,Skills!$K$20=1),Skills!$B$14&amp;", ","")&amp;IF(AND(BH109=1,Skills!$L$20=1),Skills!$B$15&amp;", ","")&amp;IF(AND(BI109=1,Skills!$M$20=1),Skills!$B$16&amp;", ",""))="","",LEFT(IF(AND(AX109=1,Skills!$B$20=1),Skills!$B$5&amp;", ","")&amp;IF(AND(AY109=1,Skills!$C$20=1),Skills!$B$6&amp;", ","")&amp;IF(AND(AZ109=1,Skills!$D$20=1),Skills!$B$7&amp;", ","")&amp;IF(AND(BA109=1,Skills!$E$20=1),Skills!$B$8&amp;", ","")&amp;IF(AND(BB109=1,Skills!$F$20=1),Skills!$B$9&amp;", ","")&amp;IF(AND(BC109=1,Skills!$G$20=1),Skills!$B$10&amp;", ","")&amp;IF(AND(BD109=1,Skills!$H$20=1),Skills!$B$11&amp;", ","")&amp;IF(AND(BE109=1,Skills!$I$20=1),Skills!$B$12&amp;", ","")&amp;IF(AND(BF109=1,Skills!$J$20=1),Skills!$B$13&amp;", ","")&amp;IF(AND(BG109=1,Skills!$K$20=1),Skills!$B$14&amp;", ","")&amp;IF(AND(BH109=1,Skills!$L$20=1),Skills!$B$15&amp;", ","")&amp;IF(AND(BI109=1,Skills!$M$20=1),Skills!$B$16&amp;", ",""),LEN(IF(AND(AX109=1,Skills!$B$20=1),Skills!$B$5&amp;", ","")&amp;IF(AND(AY109=1,Skills!$C$20=1),Skills!$B$6&amp;", ","")&amp;IF(AND(AZ109=1,Skills!$D$20=1),Skills!$B$7&amp;", ","")&amp;IF(AND(BA109=1,Skills!$E$20=1),Skills!$B$8&amp;", ","")&amp;IF(AND(BB109=1,Skills!$F$20=1),Skills!$B$9&amp;", ","")&amp;IF(AND(BC109=1,Skills!$G$20=1),Skills!$B$10&amp;", ","")&amp;IF(AND(BD109=1,Skills!$H$20=1),Skills!$B$11&amp;", ","")&amp;IF(AND(BE109=1,Skills!$I$20=1),Skills!$B$12&amp;", ","")&amp;IF(AND(BF109=1,Skills!$J$20=1),Skills!$B$13&amp;", ","")&amp;IF(AND(BG109=1,Skills!$K$20=1),Skills!$B$14&amp;", ","")&amp;IF(AND(BH109=1,Skills!$L$20=1),Skills!$B$15&amp;", ","")&amp;IF(AND(BI109=1,Skills!$M$20=1),Skills!$B$16&amp;", ",""))-2)))</f>
        <v/>
      </c>
    </row>
    <row r="110">
      <c r="AD110" s="20" t="n"/>
      <c r="AE110" s="20" t="n"/>
      <c r="AF110" s="20" t="n"/>
      <c r="AG110" s="20" t="n"/>
      <c r="AH110" s="20" t="n"/>
      <c r="AI110" s="20" t="n"/>
      <c r="AJ110" s="20" t="n"/>
      <c r="AK110" s="20" t="n"/>
      <c r="AL110" s="20" t="n"/>
      <c r="AM110" s="20" t="n"/>
      <c r="AN110" s="20" t="n"/>
      <c r="AO110" s="20" t="n"/>
      <c r="AP110" s="20" t="n"/>
      <c r="AR110" s="31">
        <f>IF(IFERROR(TRIM(INDEX($A110:$AB110,MATCH(Lists!$B$5,$A$1:$AB$1,0))&amp;""),"")&lt;&gt;"",IFERROR(TRIM(INDEX($A110:$AB110,MATCH(Lists!$B$5,$A$1:$AB$1,0))&amp;""),""),IFERROR(TRIM(INDEX($A110:$AB110,MATCH(Lists!$B$3,$A$1:$AB$1,0))&amp;""),""))</f>
        <v/>
      </c>
      <c r="AS110" s="31">
        <f>IF(AR110="","",IF(IFERROR(TRIM(INDEX($A110:$AB110,MATCH(Lists!$B$5,$A$1:$AB$1,0))&amp;""),"")&lt;&gt;"","Nominated","Applied"))</f>
        <v/>
      </c>
      <c r="AT110" s="31">
        <f>IF(AR110="","",IF(IFERROR(TRIM(INDEX($A110:$AB110,MATCH(Lists!$B$5,$A$1:$AB$1,0))&amp;""),"")&lt;&gt;"",IFERROR(TRIM(INDEX($A110:$AB110,MATCH(Lists!$B$6,$A$1:$AB$1,0))&amp;""),""),IFERROR(TRIM(INDEX($A110:$AB110,MATCH(Lists!$B$4,$A$1:$AB$1,0))&amp;""),"")))</f>
        <v/>
      </c>
      <c r="AU110" s="31">
        <f>IF(AR110="","",IFERROR(TRIM(INDEX($A110:$AB110,MATCH(Lists!$B$7,$A$1:$AB$1,0))&amp;""),""))</f>
        <v/>
      </c>
      <c r="AV110" s="31">
        <f>IF(AR110="","",IFERROR(TRIM(INDEX($A110:$AB110,MATCH(Lists!$B$9,$A$1:$AB$1,0))&amp;""),""))</f>
        <v/>
      </c>
      <c r="AW110" s="31">
        <f>IF(AR110="","",IFERROR(TRIM(INDEX($A110:$AB110,MATCH(Lists!$B$8,$A$1:$AB$1,0))&amp;""),""))</f>
        <v/>
      </c>
      <c r="AX110" s="23">
        <f>IF(AR110="","",IF(OR(TRIM(AE110&amp;"")&lt;&gt;"",AND(Skills!$B$5&lt;&gt;"",ISNUMBER(SEARCH(Skills!$B$5,AU110)))),1,0))</f>
        <v/>
      </c>
      <c r="AY110" s="23">
        <f>IF(AR110="","",IF(OR(TRIM(AF110&amp;"")&lt;&gt;"",AND(Skills!$B$6&lt;&gt;"",ISNUMBER(SEARCH(Skills!$B$6,AU110)))),1,0))</f>
        <v/>
      </c>
      <c r="AZ110" s="23">
        <f>IF(AR110="","",IF(OR(TRIM(AG110&amp;"")&lt;&gt;"",AND(Skills!$B$7&lt;&gt;"",ISNUMBER(SEARCH(Skills!$B$7,AU110)))),1,0))</f>
        <v/>
      </c>
      <c r="BA110" s="23">
        <f>IF(AR110="","",IF(OR(TRIM(AH110&amp;"")&lt;&gt;"",AND(Skills!$B$8&lt;&gt;"",ISNUMBER(SEARCH(Skills!$B$8,AU110)))),1,0))</f>
        <v/>
      </c>
      <c r="BB110" s="23">
        <f>IF(AR110="","",IF(OR(TRIM(AI110&amp;"")&lt;&gt;"",AND(Skills!$B$9&lt;&gt;"",ISNUMBER(SEARCH(Skills!$B$9,AU110)))),1,0))</f>
        <v/>
      </c>
      <c r="BC110" s="23">
        <f>IF(AR110="","",IF(OR(TRIM(AJ110&amp;"")&lt;&gt;"",AND(Skills!$B$10&lt;&gt;"",ISNUMBER(SEARCH(Skills!$B$10,AU110)))),1,0))</f>
        <v/>
      </c>
      <c r="BD110" s="23">
        <f>IF(AR110="","",IF(OR(TRIM(AK110&amp;"")&lt;&gt;"",AND(Skills!$B$11&lt;&gt;"",ISNUMBER(SEARCH(Skills!$B$11,AU110)))),1,0))</f>
        <v/>
      </c>
      <c r="BE110" s="23">
        <f>IF(AR110="","",IF(OR(TRIM(AL110&amp;"")&lt;&gt;"",AND(Skills!$B$12&lt;&gt;"",ISNUMBER(SEARCH(Skills!$B$12,AU110)))),1,0))</f>
        <v/>
      </c>
      <c r="BF110" s="23">
        <f>IF(AR110="","",IF(OR(TRIM(AM110&amp;"")&lt;&gt;"",AND(Skills!$B$13&lt;&gt;"",ISNUMBER(SEARCH(Skills!$B$13,AU110)))),1,0))</f>
        <v/>
      </c>
      <c r="BG110" s="23">
        <f>IF(AR110="","",IF(OR(TRIM(AN110&amp;"")&lt;&gt;"",AND(Skills!$B$14&lt;&gt;"",ISNUMBER(SEARCH(Skills!$B$14,AU110)))),1,0))</f>
        <v/>
      </c>
      <c r="BH110" s="23">
        <f>IF(AR110="","",IF(OR(TRIM(AO110&amp;"")&lt;&gt;"",AND(Skills!$B$15&lt;&gt;"",ISNUMBER(SEARCH(Skills!$B$15,AU110)))),1,0))</f>
        <v/>
      </c>
      <c r="BI110" s="23">
        <f>IF(AR110="","",IF(OR(TRIM(AP110&amp;"")&lt;&gt;"",AND(Skills!$B$16&lt;&gt;"",ISNUMBER(SEARCH(Skills!$B$16,AU110)))),1,0))</f>
        <v/>
      </c>
      <c r="BJ110" s="23">
        <f>IF(AR110="","",SUMPRODUCT($AX110:$BI110,Skills!$B$20:$M$20))</f>
        <v/>
      </c>
      <c r="BK110" s="23">
        <f>IF(AR110="","",BJ110*100000+(100000-ROW()))</f>
        <v/>
      </c>
      <c r="BL110" s="31">
        <f>IF(AR110="","",IF((IF(AND(AX110=1,Skills!$B$20=1),Skills!$B$5&amp;", ","")&amp;IF(AND(AY110=1,Skills!$C$20=1),Skills!$B$6&amp;", ","")&amp;IF(AND(AZ110=1,Skills!$D$20=1),Skills!$B$7&amp;", ","")&amp;IF(AND(BA110=1,Skills!$E$20=1),Skills!$B$8&amp;", ","")&amp;IF(AND(BB110=1,Skills!$F$20=1),Skills!$B$9&amp;", ","")&amp;IF(AND(BC110=1,Skills!$G$20=1),Skills!$B$10&amp;", ","")&amp;IF(AND(BD110=1,Skills!$H$20=1),Skills!$B$11&amp;", ","")&amp;IF(AND(BE110=1,Skills!$I$20=1),Skills!$B$12&amp;", ","")&amp;IF(AND(BF110=1,Skills!$J$20=1),Skills!$B$13&amp;", ","")&amp;IF(AND(BG110=1,Skills!$K$20=1),Skills!$B$14&amp;", ","")&amp;IF(AND(BH110=1,Skills!$L$20=1),Skills!$B$15&amp;", ","")&amp;IF(AND(BI110=1,Skills!$M$20=1),Skills!$B$16&amp;", ",""))="","",LEFT(IF(AND(AX110=1,Skills!$B$20=1),Skills!$B$5&amp;", ","")&amp;IF(AND(AY110=1,Skills!$C$20=1),Skills!$B$6&amp;", ","")&amp;IF(AND(AZ110=1,Skills!$D$20=1),Skills!$B$7&amp;", ","")&amp;IF(AND(BA110=1,Skills!$E$20=1),Skills!$B$8&amp;", ","")&amp;IF(AND(BB110=1,Skills!$F$20=1),Skills!$B$9&amp;", ","")&amp;IF(AND(BC110=1,Skills!$G$20=1),Skills!$B$10&amp;", ","")&amp;IF(AND(BD110=1,Skills!$H$20=1),Skills!$B$11&amp;", ","")&amp;IF(AND(BE110=1,Skills!$I$20=1),Skills!$B$12&amp;", ","")&amp;IF(AND(BF110=1,Skills!$J$20=1),Skills!$B$13&amp;", ","")&amp;IF(AND(BG110=1,Skills!$K$20=1),Skills!$B$14&amp;", ","")&amp;IF(AND(BH110=1,Skills!$L$20=1),Skills!$B$15&amp;", ","")&amp;IF(AND(BI110=1,Skills!$M$20=1),Skills!$B$16&amp;", ",""),LEN(IF(AND(AX110=1,Skills!$B$20=1),Skills!$B$5&amp;", ","")&amp;IF(AND(AY110=1,Skills!$C$20=1),Skills!$B$6&amp;", ","")&amp;IF(AND(AZ110=1,Skills!$D$20=1),Skills!$B$7&amp;", ","")&amp;IF(AND(BA110=1,Skills!$E$20=1),Skills!$B$8&amp;", ","")&amp;IF(AND(BB110=1,Skills!$F$20=1),Skills!$B$9&amp;", ","")&amp;IF(AND(BC110=1,Skills!$G$20=1),Skills!$B$10&amp;", ","")&amp;IF(AND(BD110=1,Skills!$H$20=1),Skills!$B$11&amp;", ","")&amp;IF(AND(BE110=1,Skills!$I$20=1),Skills!$B$12&amp;", ","")&amp;IF(AND(BF110=1,Skills!$J$20=1),Skills!$B$13&amp;", ","")&amp;IF(AND(BG110=1,Skills!$K$20=1),Skills!$B$14&amp;", ","")&amp;IF(AND(BH110=1,Skills!$L$20=1),Skills!$B$15&amp;", ","")&amp;IF(AND(BI110=1,Skills!$M$20=1),Skills!$B$16&amp;", ",""))-2)))</f>
        <v/>
      </c>
    </row>
    <row r="111">
      <c r="AD111" s="20" t="n"/>
      <c r="AE111" s="20" t="n"/>
      <c r="AF111" s="20" t="n"/>
      <c r="AG111" s="20" t="n"/>
      <c r="AH111" s="20" t="n"/>
      <c r="AI111" s="20" t="n"/>
      <c r="AJ111" s="20" t="n"/>
      <c r="AK111" s="20" t="n"/>
      <c r="AL111" s="20" t="n"/>
      <c r="AM111" s="20" t="n"/>
      <c r="AN111" s="20" t="n"/>
      <c r="AO111" s="20" t="n"/>
      <c r="AP111" s="20" t="n"/>
      <c r="AR111" s="31">
        <f>IF(IFERROR(TRIM(INDEX($A111:$AB111,MATCH(Lists!$B$5,$A$1:$AB$1,0))&amp;""),"")&lt;&gt;"",IFERROR(TRIM(INDEX($A111:$AB111,MATCH(Lists!$B$5,$A$1:$AB$1,0))&amp;""),""),IFERROR(TRIM(INDEX($A111:$AB111,MATCH(Lists!$B$3,$A$1:$AB$1,0))&amp;""),""))</f>
        <v/>
      </c>
      <c r="AS111" s="31">
        <f>IF(AR111="","",IF(IFERROR(TRIM(INDEX($A111:$AB111,MATCH(Lists!$B$5,$A$1:$AB$1,0))&amp;""),"")&lt;&gt;"","Nominated","Applied"))</f>
        <v/>
      </c>
      <c r="AT111" s="31">
        <f>IF(AR111="","",IF(IFERROR(TRIM(INDEX($A111:$AB111,MATCH(Lists!$B$5,$A$1:$AB$1,0))&amp;""),"")&lt;&gt;"",IFERROR(TRIM(INDEX($A111:$AB111,MATCH(Lists!$B$6,$A$1:$AB$1,0))&amp;""),""),IFERROR(TRIM(INDEX($A111:$AB111,MATCH(Lists!$B$4,$A$1:$AB$1,0))&amp;""),"")))</f>
        <v/>
      </c>
      <c r="AU111" s="31">
        <f>IF(AR111="","",IFERROR(TRIM(INDEX($A111:$AB111,MATCH(Lists!$B$7,$A$1:$AB$1,0))&amp;""),""))</f>
        <v/>
      </c>
      <c r="AV111" s="31">
        <f>IF(AR111="","",IFERROR(TRIM(INDEX($A111:$AB111,MATCH(Lists!$B$9,$A$1:$AB$1,0))&amp;""),""))</f>
        <v/>
      </c>
      <c r="AW111" s="31">
        <f>IF(AR111="","",IFERROR(TRIM(INDEX($A111:$AB111,MATCH(Lists!$B$8,$A$1:$AB$1,0))&amp;""),""))</f>
        <v/>
      </c>
      <c r="AX111" s="23">
        <f>IF(AR111="","",IF(OR(TRIM(AE111&amp;"")&lt;&gt;"",AND(Skills!$B$5&lt;&gt;"",ISNUMBER(SEARCH(Skills!$B$5,AU111)))),1,0))</f>
        <v/>
      </c>
      <c r="AY111" s="23">
        <f>IF(AR111="","",IF(OR(TRIM(AF111&amp;"")&lt;&gt;"",AND(Skills!$B$6&lt;&gt;"",ISNUMBER(SEARCH(Skills!$B$6,AU111)))),1,0))</f>
        <v/>
      </c>
      <c r="AZ111" s="23">
        <f>IF(AR111="","",IF(OR(TRIM(AG111&amp;"")&lt;&gt;"",AND(Skills!$B$7&lt;&gt;"",ISNUMBER(SEARCH(Skills!$B$7,AU111)))),1,0))</f>
        <v/>
      </c>
      <c r="BA111" s="23">
        <f>IF(AR111="","",IF(OR(TRIM(AH111&amp;"")&lt;&gt;"",AND(Skills!$B$8&lt;&gt;"",ISNUMBER(SEARCH(Skills!$B$8,AU111)))),1,0))</f>
        <v/>
      </c>
      <c r="BB111" s="23">
        <f>IF(AR111="","",IF(OR(TRIM(AI111&amp;"")&lt;&gt;"",AND(Skills!$B$9&lt;&gt;"",ISNUMBER(SEARCH(Skills!$B$9,AU111)))),1,0))</f>
        <v/>
      </c>
      <c r="BC111" s="23">
        <f>IF(AR111="","",IF(OR(TRIM(AJ111&amp;"")&lt;&gt;"",AND(Skills!$B$10&lt;&gt;"",ISNUMBER(SEARCH(Skills!$B$10,AU111)))),1,0))</f>
        <v/>
      </c>
      <c r="BD111" s="23">
        <f>IF(AR111="","",IF(OR(TRIM(AK111&amp;"")&lt;&gt;"",AND(Skills!$B$11&lt;&gt;"",ISNUMBER(SEARCH(Skills!$B$11,AU111)))),1,0))</f>
        <v/>
      </c>
      <c r="BE111" s="23">
        <f>IF(AR111="","",IF(OR(TRIM(AL111&amp;"")&lt;&gt;"",AND(Skills!$B$12&lt;&gt;"",ISNUMBER(SEARCH(Skills!$B$12,AU111)))),1,0))</f>
        <v/>
      </c>
      <c r="BF111" s="23">
        <f>IF(AR111="","",IF(OR(TRIM(AM111&amp;"")&lt;&gt;"",AND(Skills!$B$13&lt;&gt;"",ISNUMBER(SEARCH(Skills!$B$13,AU111)))),1,0))</f>
        <v/>
      </c>
      <c r="BG111" s="23">
        <f>IF(AR111="","",IF(OR(TRIM(AN111&amp;"")&lt;&gt;"",AND(Skills!$B$14&lt;&gt;"",ISNUMBER(SEARCH(Skills!$B$14,AU111)))),1,0))</f>
        <v/>
      </c>
      <c r="BH111" s="23">
        <f>IF(AR111="","",IF(OR(TRIM(AO111&amp;"")&lt;&gt;"",AND(Skills!$B$15&lt;&gt;"",ISNUMBER(SEARCH(Skills!$B$15,AU111)))),1,0))</f>
        <v/>
      </c>
      <c r="BI111" s="23">
        <f>IF(AR111="","",IF(OR(TRIM(AP111&amp;"")&lt;&gt;"",AND(Skills!$B$16&lt;&gt;"",ISNUMBER(SEARCH(Skills!$B$16,AU111)))),1,0))</f>
        <v/>
      </c>
      <c r="BJ111" s="23">
        <f>IF(AR111="","",SUMPRODUCT($AX111:$BI111,Skills!$B$20:$M$20))</f>
        <v/>
      </c>
      <c r="BK111" s="23">
        <f>IF(AR111="","",BJ111*100000+(100000-ROW()))</f>
        <v/>
      </c>
      <c r="BL111" s="31">
        <f>IF(AR111="","",IF((IF(AND(AX111=1,Skills!$B$20=1),Skills!$B$5&amp;", ","")&amp;IF(AND(AY111=1,Skills!$C$20=1),Skills!$B$6&amp;", ","")&amp;IF(AND(AZ111=1,Skills!$D$20=1),Skills!$B$7&amp;", ","")&amp;IF(AND(BA111=1,Skills!$E$20=1),Skills!$B$8&amp;", ","")&amp;IF(AND(BB111=1,Skills!$F$20=1),Skills!$B$9&amp;", ","")&amp;IF(AND(BC111=1,Skills!$G$20=1),Skills!$B$10&amp;", ","")&amp;IF(AND(BD111=1,Skills!$H$20=1),Skills!$B$11&amp;", ","")&amp;IF(AND(BE111=1,Skills!$I$20=1),Skills!$B$12&amp;", ","")&amp;IF(AND(BF111=1,Skills!$J$20=1),Skills!$B$13&amp;", ","")&amp;IF(AND(BG111=1,Skills!$K$20=1),Skills!$B$14&amp;", ","")&amp;IF(AND(BH111=1,Skills!$L$20=1),Skills!$B$15&amp;", ","")&amp;IF(AND(BI111=1,Skills!$M$20=1),Skills!$B$16&amp;", ",""))="","",LEFT(IF(AND(AX111=1,Skills!$B$20=1),Skills!$B$5&amp;", ","")&amp;IF(AND(AY111=1,Skills!$C$20=1),Skills!$B$6&amp;", ","")&amp;IF(AND(AZ111=1,Skills!$D$20=1),Skills!$B$7&amp;", ","")&amp;IF(AND(BA111=1,Skills!$E$20=1),Skills!$B$8&amp;", ","")&amp;IF(AND(BB111=1,Skills!$F$20=1),Skills!$B$9&amp;", ","")&amp;IF(AND(BC111=1,Skills!$G$20=1),Skills!$B$10&amp;", ","")&amp;IF(AND(BD111=1,Skills!$H$20=1),Skills!$B$11&amp;", ","")&amp;IF(AND(BE111=1,Skills!$I$20=1),Skills!$B$12&amp;", ","")&amp;IF(AND(BF111=1,Skills!$J$20=1),Skills!$B$13&amp;", ","")&amp;IF(AND(BG111=1,Skills!$K$20=1),Skills!$B$14&amp;", ","")&amp;IF(AND(BH111=1,Skills!$L$20=1),Skills!$B$15&amp;", ","")&amp;IF(AND(BI111=1,Skills!$M$20=1),Skills!$B$16&amp;", ",""),LEN(IF(AND(AX111=1,Skills!$B$20=1),Skills!$B$5&amp;", ","")&amp;IF(AND(AY111=1,Skills!$C$20=1),Skills!$B$6&amp;", ","")&amp;IF(AND(AZ111=1,Skills!$D$20=1),Skills!$B$7&amp;", ","")&amp;IF(AND(BA111=1,Skills!$E$20=1),Skills!$B$8&amp;", ","")&amp;IF(AND(BB111=1,Skills!$F$20=1),Skills!$B$9&amp;", ","")&amp;IF(AND(BC111=1,Skills!$G$20=1),Skills!$B$10&amp;", ","")&amp;IF(AND(BD111=1,Skills!$H$20=1),Skills!$B$11&amp;", ","")&amp;IF(AND(BE111=1,Skills!$I$20=1),Skills!$B$12&amp;", ","")&amp;IF(AND(BF111=1,Skills!$J$20=1),Skills!$B$13&amp;", ","")&amp;IF(AND(BG111=1,Skills!$K$20=1),Skills!$B$14&amp;", ","")&amp;IF(AND(BH111=1,Skills!$L$20=1),Skills!$B$15&amp;", ","")&amp;IF(AND(BI111=1,Skills!$M$20=1),Skills!$B$16&amp;", ",""))-2)))</f>
        <v/>
      </c>
    </row>
    <row r="112">
      <c r="AD112" s="20" t="n"/>
      <c r="AE112" s="20" t="n"/>
      <c r="AF112" s="20" t="n"/>
      <c r="AG112" s="20" t="n"/>
      <c r="AH112" s="20" t="n"/>
      <c r="AI112" s="20" t="n"/>
      <c r="AJ112" s="20" t="n"/>
      <c r="AK112" s="20" t="n"/>
      <c r="AL112" s="20" t="n"/>
      <c r="AM112" s="20" t="n"/>
      <c r="AN112" s="20" t="n"/>
      <c r="AO112" s="20" t="n"/>
      <c r="AP112" s="20" t="n"/>
      <c r="AR112" s="31">
        <f>IF(IFERROR(TRIM(INDEX($A112:$AB112,MATCH(Lists!$B$5,$A$1:$AB$1,0))&amp;""),"")&lt;&gt;"",IFERROR(TRIM(INDEX($A112:$AB112,MATCH(Lists!$B$5,$A$1:$AB$1,0))&amp;""),""),IFERROR(TRIM(INDEX($A112:$AB112,MATCH(Lists!$B$3,$A$1:$AB$1,0))&amp;""),""))</f>
        <v/>
      </c>
      <c r="AS112" s="31">
        <f>IF(AR112="","",IF(IFERROR(TRIM(INDEX($A112:$AB112,MATCH(Lists!$B$5,$A$1:$AB$1,0))&amp;""),"")&lt;&gt;"","Nominated","Applied"))</f>
        <v/>
      </c>
      <c r="AT112" s="31">
        <f>IF(AR112="","",IF(IFERROR(TRIM(INDEX($A112:$AB112,MATCH(Lists!$B$5,$A$1:$AB$1,0))&amp;""),"")&lt;&gt;"",IFERROR(TRIM(INDEX($A112:$AB112,MATCH(Lists!$B$6,$A$1:$AB$1,0))&amp;""),""),IFERROR(TRIM(INDEX($A112:$AB112,MATCH(Lists!$B$4,$A$1:$AB$1,0))&amp;""),"")))</f>
        <v/>
      </c>
      <c r="AU112" s="31">
        <f>IF(AR112="","",IFERROR(TRIM(INDEX($A112:$AB112,MATCH(Lists!$B$7,$A$1:$AB$1,0))&amp;""),""))</f>
        <v/>
      </c>
      <c r="AV112" s="31">
        <f>IF(AR112="","",IFERROR(TRIM(INDEX($A112:$AB112,MATCH(Lists!$B$9,$A$1:$AB$1,0))&amp;""),""))</f>
        <v/>
      </c>
      <c r="AW112" s="31">
        <f>IF(AR112="","",IFERROR(TRIM(INDEX($A112:$AB112,MATCH(Lists!$B$8,$A$1:$AB$1,0))&amp;""),""))</f>
        <v/>
      </c>
      <c r="AX112" s="23">
        <f>IF(AR112="","",IF(OR(TRIM(AE112&amp;"")&lt;&gt;"",AND(Skills!$B$5&lt;&gt;"",ISNUMBER(SEARCH(Skills!$B$5,AU112)))),1,0))</f>
        <v/>
      </c>
      <c r="AY112" s="23">
        <f>IF(AR112="","",IF(OR(TRIM(AF112&amp;"")&lt;&gt;"",AND(Skills!$B$6&lt;&gt;"",ISNUMBER(SEARCH(Skills!$B$6,AU112)))),1,0))</f>
        <v/>
      </c>
      <c r="AZ112" s="23">
        <f>IF(AR112="","",IF(OR(TRIM(AG112&amp;"")&lt;&gt;"",AND(Skills!$B$7&lt;&gt;"",ISNUMBER(SEARCH(Skills!$B$7,AU112)))),1,0))</f>
        <v/>
      </c>
      <c r="BA112" s="23">
        <f>IF(AR112="","",IF(OR(TRIM(AH112&amp;"")&lt;&gt;"",AND(Skills!$B$8&lt;&gt;"",ISNUMBER(SEARCH(Skills!$B$8,AU112)))),1,0))</f>
        <v/>
      </c>
      <c r="BB112" s="23">
        <f>IF(AR112="","",IF(OR(TRIM(AI112&amp;"")&lt;&gt;"",AND(Skills!$B$9&lt;&gt;"",ISNUMBER(SEARCH(Skills!$B$9,AU112)))),1,0))</f>
        <v/>
      </c>
      <c r="BC112" s="23">
        <f>IF(AR112="","",IF(OR(TRIM(AJ112&amp;"")&lt;&gt;"",AND(Skills!$B$10&lt;&gt;"",ISNUMBER(SEARCH(Skills!$B$10,AU112)))),1,0))</f>
        <v/>
      </c>
      <c r="BD112" s="23">
        <f>IF(AR112="","",IF(OR(TRIM(AK112&amp;"")&lt;&gt;"",AND(Skills!$B$11&lt;&gt;"",ISNUMBER(SEARCH(Skills!$B$11,AU112)))),1,0))</f>
        <v/>
      </c>
      <c r="BE112" s="23">
        <f>IF(AR112="","",IF(OR(TRIM(AL112&amp;"")&lt;&gt;"",AND(Skills!$B$12&lt;&gt;"",ISNUMBER(SEARCH(Skills!$B$12,AU112)))),1,0))</f>
        <v/>
      </c>
      <c r="BF112" s="23">
        <f>IF(AR112="","",IF(OR(TRIM(AM112&amp;"")&lt;&gt;"",AND(Skills!$B$13&lt;&gt;"",ISNUMBER(SEARCH(Skills!$B$13,AU112)))),1,0))</f>
        <v/>
      </c>
      <c r="BG112" s="23">
        <f>IF(AR112="","",IF(OR(TRIM(AN112&amp;"")&lt;&gt;"",AND(Skills!$B$14&lt;&gt;"",ISNUMBER(SEARCH(Skills!$B$14,AU112)))),1,0))</f>
        <v/>
      </c>
      <c r="BH112" s="23">
        <f>IF(AR112="","",IF(OR(TRIM(AO112&amp;"")&lt;&gt;"",AND(Skills!$B$15&lt;&gt;"",ISNUMBER(SEARCH(Skills!$B$15,AU112)))),1,0))</f>
        <v/>
      </c>
      <c r="BI112" s="23">
        <f>IF(AR112="","",IF(OR(TRIM(AP112&amp;"")&lt;&gt;"",AND(Skills!$B$16&lt;&gt;"",ISNUMBER(SEARCH(Skills!$B$16,AU112)))),1,0))</f>
        <v/>
      </c>
      <c r="BJ112" s="23">
        <f>IF(AR112="","",SUMPRODUCT($AX112:$BI112,Skills!$B$20:$M$20))</f>
        <v/>
      </c>
      <c r="BK112" s="23">
        <f>IF(AR112="","",BJ112*100000+(100000-ROW()))</f>
        <v/>
      </c>
      <c r="BL112" s="31">
        <f>IF(AR112="","",IF((IF(AND(AX112=1,Skills!$B$20=1),Skills!$B$5&amp;", ","")&amp;IF(AND(AY112=1,Skills!$C$20=1),Skills!$B$6&amp;", ","")&amp;IF(AND(AZ112=1,Skills!$D$20=1),Skills!$B$7&amp;", ","")&amp;IF(AND(BA112=1,Skills!$E$20=1),Skills!$B$8&amp;", ","")&amp;IF(AND(BB112=1,Skills!$F$20=1),Skills!$B$9&amp;", ","")&amp;IF(AND(BC112=1,Skills!$G$20=1),Skills!$B$10&amp;", ","")&amp;IF(AND(BD112=1,Skills!$H$20=1),Skills!$B$11&amp;", ","")&amp;IF(AND(BE112=1,Skills!$I$20=1),Skills!$B$12&amp;", ","")&amp;IF(AND(BF112=1,Skills!$J$20=1),Skills!$B$13&amp;", ","")&amp;IF(AND(BG112=1,Skills!$K$20=1),Skills!$B$14&amp;", ","")&amp;IF(AND(BH112=1,Skills!$L$20=1),Skills!$B$15&amp;", ","")&amp;IF(AND(BI112=1,Skills!$M$20=1),Skills!$B$16&amp;", ",""))="","",LEFT(IF(AND(AX112=1,Skills!$B$20=1),Skills!$B$5&amp;", ","")&amp;IF(AND(AY112=1,Skills!$C$20=1),Skills!$B$6&amp;", ","")&amp;IF(AND(AZ112=1,Skills!$D$20=1),Skills!$B$7&amp;", ","")&amp;IF(AND(BA112=1,Skills!$E$20=1),Skills!$B$8&amp;", ","")&amp;IF(AND(BB112=1,Skills!$F$20=1),Skills!$B$9&amp;", ","")&amp;IF(AND(BC112=1,Skills!$G$20=1),Skills!$B$10&amp;", ","")&amp;IF(AND(BD112=1,Skills!$H$20=1),Skills!$B$11&amp;", ","")&amp;IF(AND(BE112=1,Skills!$I$20=1),Skills!$B$12&amp;", ","")&amp;IF(AND(BF112=1,Skills!$J$20=1),Skills!$B$13&amp;", ","")&amp;IF(AND(BG112=1,Skills!$K$20=1),Skills!$B$14&amp;", ","")&amp;IF(AND(BH112=1,Skills!$L$20=1),Skills!$B$15&amp;", ","")&amp;IF(AND(BI112=1,Skills!$M$20=1),Skills!$B$16&amp;", ",""),LEN(IF(AND(AX112=1,Skills!$B$20=1),Skills!$B$5&amp;", ","")&amp;IF(AND(AY112=1,Skills!$C$20=1),Skills!$B$6&amp;", ","")&amp;IF(AND(AZ112=1,Skills!$D$20=1),Skills!$B$7&amp;", ","")&amp;IF(AND(BA112=1,Skills!$E$20=1),Skills!$B$8&amp;", ","")&amp;IF(AND(BB112=1,Skills!$F$20=1),Skills!$B$9&amp;", ","")&amp;IF(AND(BC112=1,Skills!$G$20=1),Skills!$B$10&amp;", ","")&amp;IF(AND(BD112=1,Skills!$H$20=1),Skills!$B$11&amp;", ","")&amp;IF(AND(BE112=1,Skills!$I$20=1),Skills!$B$12&amp;", ","")&amp;IF(AND(BF112=1,Skills!$J$20=1),Skills!$B$13&amp;", ","")&amp;IF(AND(BG112=1,Skills!$K$20=1),Skills!$B$14&amp;", ","")&amp;IF(AND(BH112=1,Skills!$L$20=1),Skills!$B$15&amp;", ","")&amp;IF(AND(BI112=1,Skills!$M$20=1),Skills!$B$16&amp;", ",""))-2)))</f>
        <v/>
      </c>
    </row>
    <row r="113">
      <c r="AD113" s="20" t="n"/>
      <c r="AE113" s="20" t="n"/>
      <c r="AF113" s="20" t="n"/>
      <c r="AG113" s="20" t="n"/>
      <c r="AH113" s="20" t="n"/>
      <c r="AI113" s="20" t="n"/>
      <c r="AJ113" s="20" t="n"/>
      <c r="AK113" s="20" t="n"/>
      <c r="AL113" s="20" t="n"/>
      <c r="AM113" s="20" t="n"/>
      <c r="AN113" s="20" t="n"/>
      <c r="AO113" s="20" t="n"/>
      <c r="AP113" s="20" t="n"/>
      <c r="AR113" s="31">
        <f>IF(IFERROR(TRIM(INDEX($A113:$AB113,MATCH(Lists!$B$5,$A$1:$AB$1,0))&amp;""),"")&lt;&gt;"",IFERROR(TRIM(INDEX($A113:$AB113,MATCH(Lists!$B$5,$A$1:$AB$1,0))&amp;""),""),IFERROR(TRIM(INDEX($A113:$AB113,MATCH(Lists!$B$3,$A$1:$AB$1,0))&amp;""),""))</f>
        <v/>
      </c>
      <c r="AS113" s="31">
        <f>IF(AR113="","",IF(IFERROR(TRIM(INDEX($A113:$AB113,MATCH(Lists!$B$5,$A$1:$AB$1,0))&amp;""),"")&lt;&gt;"","Nominated","Applied"))</f>
        <v/>
      </c>
      <c r="AT113" s="31">
        <f>IF(AR113="","",IF(IFERROR(TRIM(INDEX($A113:$AB113,MATCH(Lists!$B$5,$A$1:$AB$1,0))&amp;""),"")&lt;&gt;"",IFERROR(TRIM(INDEX($A113:$AB113,MATCH(Lists!$B$6,$A$1:$AB$1,0))&amp;""),""),IFERROR(TRIM(INDEX($A113:$AB113,MATCH(Lists!$B$4,$A$1:$AB$1,0))&amp;""),"")))</f>
        <v/>
      </c>
      <c r="AU113" s="31">
        <f>IF(AR113="","",IFERROR(TRIM(INDEX($A113:$AB113,MATCH(Lists!$B$7,$A$1:$AB$1,0))&amp;""),""))</f>
        <v/>
      </c>
      <c r="AV113" s="31">
        <f>IF(AR113="","",IFERROR(TRIM(INDEX($A113:$AB113,MATCH(Lists!$B$9,$A$1:$AB$1,0))&amp;""),""))</f>
        <v/>
      </c>
      <c r="AW113" s="31">
        <f>IF(AR113="","",IFERROR(TRIM(INDEX($A113:$AB113,MATCH(Lists!$B$8,$A$1:$AB$1,0))&amp;""),""))</f>
        <v/>
      </c>
      <c r="AX113" s="23">
        <f>IF(AR113="","",IF(OR(TRIM(AE113&amp;"")&lt;&gt;"",AND(Skills!$B$5&lt;&gt;"",ISNUMBER(SEARCH(Skills!$B$5,AU113)))),1,0))</f>
        <v/>
      </c>
      <c r="AY113" s="23">
        <f>IF(AR113="","",IF(OR(TRIM(AF113&amp;"")&lt;&gt;"",AND(Skills!$B$6&lt;&gt;"",ISNUMBER(SEARCH(Skills!$B$6,AU113)))),1,0))</f>
        <v/>
      </c>
      <c r="AZ113" s="23">
        <f>IF(AR113="","",IF(OR(TRIM(AG113&amp;"")&lt;&gt;"",AND(Skills!$B$7&lt;&gt;"",ISNUMBER(SEARCH(Skills!$B$7,AU113)))),1,0))</f>
        <v/>
      </c>
      <c r="BA113" s="23">
        <f>IF(AR113="","",IF(OR(TRIM(AH113&amp;"")&lt;&gt;"",AND(Skills!$B$8&lt;&gt;"",ISNUMBER(SEARCH(Skills!$B$8,AU113)))),1,0))</f>
        <v/>
      </c>
      <c r="BB113" s="23">
        <f>IF(AR113="","",IF(OR(TRIM(AI113&amp;"")&lt;&gt;"",AND(Skills!$B$9&lt;&gt;"",ISNUMBER(SEARCH(Skills!$B$9,AU113)))),1,0))</f>
        <v/>
      </c>
      <c r="BC113" s="23">
        <f>IF(AR113="","",IF(OR(TRIM(AJ113&amp;"")&lt;&gt;"",AND(Skills!$B$10&lt;&gt;"",ISNUMBER(SEARCH(Skills!$B$10,AU113)))),1,0))</f>
        <v/>
      </c>
      <c r="BD113" s="23">
        <f>IF(AR113="","",IF(OR(TRIM(AK113&amp;"")&lt;&gt;"",AND(Skills!$B$11&lt;&gt;"",ISNUMBER(SEARCH(Skills!$B$11,AU113)))),1,0))</f>
        <v/>
      </c>
      <c r="BE113" s="23">
        <f>IF(AR113="","",IF(OR(TRIM(AL113&amp;"")&lt;&gt;"",AND(Skills!$B$12&lt;&gt;"",ISNUMBER(SEARCH(Skills!$B$12,AU113)))),1,0))</f>
        <v/>
      </c>
      <c r="BF113" s="23">
        <f>IF(AR113="","",IF(OR(TRIM(AM113&amp;"")&lt;&gt;"",AND(Skills!$B$13&lt;&gt;"",ISNUMBER(SEARCH(Skills!$B$13,AU113)))),1,0))</f>
        <v/>
      </c>
      <c r="BG113" s="23">
        <f>IF(AR113="","",IF(OR(TRIM(AN113&amp;"")&lt;&gt;"",AND(Skills!$B$14&lt;&gt;"",ISNUMBER(SEARCH(Skills!$B$14,AU113)))),1,0))</f>
        <v/>
      </c>
      <c r="BH113" s="23">
        <f>IF(AR113="","",IF(OR(TRIM(AO113&amp;"")&lt;&gt;"",AND(Skills!$B$15&lt;&gt;"",ISNUMBER(SEARCH(Skills!$B$15,AU113)))),1,0))</f>
        <v/>
      </c>
      <c r="BI113" s="23">
        <f>IF(AR113="","",IF(OR(TRIM(AP113&amp;"")&lt;&gt;"",AND(Skills!$B$16&lt;&gt;"",ISNUMBER(SEARCH(Skills!$B$16,AU113)))),1,0))</f>
        <v/>
      </c>
      <c r="BJ113" s="23">
        <f>IF(AR113="","",SUMPRODUCT($AX113:$BI113,Skills!$B$20:$M$20))</f>
        <v/>
      </c>
      <c r="BK113" s="23">
        <f>IF(AR113="","",BJ113*100000+(100000-ROW()))</f>
        <v/>
      </c>
      <c r="BL113" s="31">
        <f>IF(AR113="","",IF((IF(AND(AX113=1,Skills!$B$20=1),Skills!$B$5&amp;", ","")&amp;IF(AND(AY113=1,Skills!$C$20=1),Skills!$B$6&amp;", ","")&amp;IF(AND(AZ113=1,Skills!$D$20=1),Skills!$B$7&amp;", ","")&amp;IF(AND(BA113=1,Skills!$E$20=1),Skills!$B$8&amp;", ","")&amp;IF(AND(BB113=1,Skills!$F$20=1),Skills!$B$9&amp;", ","")&amp;IF(AND(BC113=1,Skills!$G$20=1),Skills!$B$10&amp;", ","")&amp;IF(AND(BD113=1,Skills!$H$20=1),Skills!$B$11&amp;", ","")&amp;IF(AND(BE113=1,Skills!$I$20=1),Skills!$B$12&amp;", ","")&amp;IF(AND(BF113=1,Skills!$J$20=1),Skills!$B$13&amp;", ","")&amp;IF(AND(BG113=1,Skills!$K$20=1),Skills!$B$14&amp;", ","")&amp;IF(AND(BH113=1,Skills!$L$20=1),Skills!$B$15&amp;", ","")&amp;IF(AND(BI113=1,Skills!$M$20=1),Skills!$B$16&amp;", ",""))="","",LEFT(IF(AND(AX113=1,Skills!$B$20=1),Skills!$B$5&amp;", ","")&amp;IF(AND(AY113=1,Skills!$C$20=1),Skills!$B$6&amp;", ","")&amp;IF(AND(AZ113=1,Skills!$D$20=1),Skills!$B$7&amp;", ","")&amp;IF(AND(BA113=1,Skills!$E$20=1),Skills!$B$8&amp;", ","")&amp;IF(AND(BB113=1,Skills!$F$20=1),Skills!$B$9&amp;", ","")&amp;IF(AND(BC113=1,Skills!$G$20=1),Skills!$B$10&amp;", ","")&amp;IF(AND(BD113=1,Skills!$H$20=1),Skills!$B$11&amp;", ","")&amp;IF(AND(BE113=1,Skills!$I$20=1),Skills!$B$12&amp;", ","")&amp;IF(AND(BF113=1,Skills!$J$20=1),Skills!$B$13&amp;", ","")&amp;IF(AND(BG113=1,Skills!$K$20=1),Skills!$B$14&amp;", ","")&amp;IF(AND(BH113=1,Skills!$L$20=1),Skills!$B$15&amp;", ","")&amp;IF(AND(BI113=1,Skills!$M$20=1),Skills!$B$16&amp;", ",""),LEN(IF(AND(AX113=1,Skills!$B$20=1),Skills!$B$5&amp;", ","")&amp;IF(AND(AY113=1,Skills!$C$20=1),Skills!$B$6&amp;", ","")&amp;IF(AND(AZ113=1,Skills!$D$20=1),Skills!$B$7&amp;", ","")&amp;IF(AND(BA113=1,Skills!$E$20=1),Skills!$B$8&amp;", ","")&amp;IF(AND(BB113=1,Skills!$F$20=1),Skills!$B$9&amp;", ","")&amp;IF(AND(BC113=1,Skills!$G$20=1),Skills!$B$10&amp;", ","")&amp;IF(AND(BD113=1,Skills!$H$20=1),Skills!$B$11&amp;", ","")&amp;IF(AND(BE113=1,Skills!$I$20=1),Skills!$B$12&amp;", ","")&amp;IF(AND(BF113=1,Skills!$J$20=1),Skills!$B$13&amp;", ","")&amp;IF(AND(BG113=1,Skills!$K$20=1),Skills!$B$14&amp;", ","")&amp;IF(AND(BH113=1,Skills!$L$20=1),Skills!$B$15&amp;", ","")&amp;IF(AND(BI113=1,Skills!$M$20=1),Skills!$B$16&amp;", ",""))-2)))</f>
        <v/>
      </c>
    </row>
    <row r="114">
      <c r="AD114" s="20" t="n"/>
      <c r="AE114" s="20" t="n"/>
      <c r="AF114" s="20" t="n"/>
      <c r="AG114" s="20" t="n"/>
      <c r="AH114" s="20" t="n"/>
      <c r="AI114" s="20" t="n"/>
      <c r="AJ114" s="20" t="n"/>
      <c r="AK114" s="20" t="n"/>
      <c r="AL114" s="20" t="n"/>
      <c r="AM114" s="20" t="n"/>
      <c r="AN114" s="20" t="n"/>
      <c r="AO114" s="20" t="n"/>
      <c r="AP114" s="20" t="n"/>
      <c r="AR114" s="31">
        <f>IF(IFERROR(TRIM(INDEX($A114:$AB114,MATCH(Lists!$B$5,$A$1:$AB$1,0))&amp;""),"")&lt;&gt;"",IFERROR(TRIM(INDEX($A114:$AB114,MATCH(Lists!$B$5,$A$1:$AB$1,0))&amp;""),""),IFERROR(TRIM(INDEX($A114:$AB114,MATCH(Lists!$B$3,$A$1:$AB$1,0))&amp;""),""))</f>
        <v/>
      </c>
      <c r="AS114" s="31">
        <f>IF(AR114="","",IF(IFERROR(TRIM(INDEX($A114:$AB114,MATCH(Lists!$B$5,$A$1:$AB$1,0))&amp;""),"")&lt;&gt;"","Nominated","Applied"))</f>
        <v/>
      </c>
      <c r="AT114" s="31">
        <f>IF(AR114="","",IF(IFERROR(TRIM(INDEX($A114:$AB114,MATCH(Lists!$B$5,$A$1:$AB$1,0))&amp;""),"")&lt;&gt;"",IFERROR(TRIM(INDEX($A114:$AB114,MATCH(Lists!$B$6,$A$1:$AB$1,0))&amp;""),""),IFERROR(TRIM(INDEX($A114:$AB114,MATCH(Lists!$B$4,$A$1:$AB$1,0))&amp;""),"")))</f>
        <v/>
      </c>
      <c r="AU114" s="31">
        <f>IF(AR114="","",IFERROR(TRIM(INDEX($A114:$AB114,MATCH(Lists!$B$7,$A$1:$AB$1,0))&amp;""),""))</f>
        <v/>
      </c>
      <c r="AV114" s="31">
        <f>IF(AR114="","",IFERROR(TRIM(INDEX($A114:$AB114,MATCH(Lists!$B$9,$A$1:$AB$1,0))&amp;""),""))</f>
        <v/>
      </c>
      <c r="AW114" s="31">
        <f>IF(AR114="","",IFERROR(TRIM(INDEX($A114:$AB114,MATCH(Lists!$B$8,$A$1:$AB$1,0))&amp;""),""))</f>
        <v/>
      </c>
      <c r="AX114" s="23">
        <f>IF(AR114="","",IF(OR(TRIM(AE114&amp;"")&lt;&gt;"",AND(Skills!$B$5&lt;&gt;"",ISNUMBER(SEARCH(Skills!$B$5,AU114)))),1,0))</f>
        <v/>
      </c>
      <c r="AY114" s="23">
        <f>IF(AR114="","",IF(OR(TRIM(AF114&amp;"")&lt;&gt;"",AND(Skills!$B$6&lt;&gt;"",ISNUMBER(SEARCH(Skills!$B$6,AU114)))),1,0))</f>
        <v/>
      </c>
      <c r="AZ114" s="23">
        <f>IF(AR114="","",IF(OR(TRIM(AG114&amp;"")&lt;&gt;"",AND(Skills!$B$7&lt;&gt;"",ISNUMBER(SEARCH(Skills!$B$7,AU114)))),1,0))</f>
        <v/>
      </c>
      <c r="BA114" s="23">
        <f>IF(AR114="","",IF(OR(TRIM(AH114&amp;"")&lt;&gt;"",AND(Skills!$B$8&lt;&gt;"",ISNUMBER(SEARCH(Skills!$B$8,AU114)))),1,0))</f>
        <v/>
      </c>
      <c r="BB114" s="23">
        <f>IF(AR114="","",IF(OR(TRIM(AI114&amp;"")&lt;&gt;"",AND(Skills!$B$9&lt;&gt;"",ISNUMBER(SEARCH(Skills!$B$9,AU114)))),1,0))</f>
        <v/>
      </c>
      <c r="BC114" s="23">
        <f>IF(AR114="","",IF(OR(TRIM(AJ114&amp;"")&lt;&gt;"",AND(Skills!$B$10&lt;&gt;"",ISNUMBER(SEARCH(Skills!$B$10,AU114)))),1,0))</f>
        <v/>
      </c>
      <c r="BD114" s="23">
        <f>IF(AR114="","",IF(OR(TRIM(AK114&amp;"")&lt;&gt;"",AND(Skills!$B$11&lt;&gt;"",ISNUMBER(SEARCH(Skills!$B$11,AU114)))),1,0))</f>
        <v/>
      </c>
      <c r="BE114" s="23">
        <f>IF(AR114="","",IF(OR(TRIM(AL114&amp;"")&lt;&gt;"",AND(Skills!$B$12&lt;&gt;"",ISNUMBER(SEARCH(Skills!$B$12,AU114)))),1,0))</f>
        <v/>
      </c>
      <c r="BF114" s="23">
        <f>IF(AR114="","",IF(OR(TRIM(AM114&amp;"")&lt;&gt;"",AND(Skills!$B$13&lt;&gt;"",ISNUMBER(SEARCH(Skills!$B$13,AU114)))),1,0))</f>
        <v/>
      </c>
      <c r="BG114" s="23">
        <f>IF(AR114="","",IF(OR(TRIM(AN114&amp;"")&lt;&gt;"",AND(Skills!$B$14&lt;&gt;"",ISNUMBER(SEARCH(Skills!$B$14,AU114)))),1,0))</f>
        <v/>
      </c>
      <c r="BH114" s="23">
        <f>IF(AR114="","",IF(OR(TRIM(AO114&amp;"")&lt;&gt;"",AND(Skills!$B$15&lt;&gt;"",ISNUMBER(SEARCH(Skills!$B$15,AU114)))),1,0))</f>
        <v/>
      </c>
      <c r="BI114" s="23">
        <f>IF(AR114="","",IF(OR(TRIM(AP114&amp;"")&lt;&gt;"",AND(Skills!$B$16&lt;&gt;"",ISNUMBER(SEARCH(Skills!$B$16,AU114)))),1,0))</f>
        <v/>
      </c>
      <c r="BJ114" s="23">
        <f>IF(AR114="","",SUMPRODUCT($AX114:$BI114,Skills!$B$20:$M$20))</f>
        <v/>
      </c>
      <c r="BK114" s="23">
        <f>IF(AR114="","",BJ114*100000+(100000-ROW()))</f>
        <v/>
      </c>
      <c r="BL114" s="31">
        <f>IF(AR114="","",IF((IF(AND(AX114=1,Skills!$B$20=1),Skills!$B$5&amp;", ","")&amp;IF(AND(AY114=1,Skills!$C$20=1),Skills!$B$6&amp;", ","")&amp;IF(AND(AZ114=1,Skills!$D$20=1),Skills!$B$7&amp;", ","")&amp;IF(AND(BA114=1,Skills!$E$20=1),Skills!$B$8&amp;", ","")&amp;IF(AND(BB114=1,Skills!$F$20=1),Skills!$B$9&amp;", ","")&amp;IF(AND(BC114=1,Skills!$G$20=1),Skills!$B$10&amp;", ","")&amp;IF(AND(BD114=1,Skills!$H$20=1),Skills!$B$11&amp;", ","")&amp;IF(AND(BE114=1,Skills!$I$20=1),Skills!$B$12&amp;", ","")&amp;IF(AND(BF114=1,Skills!$J$20=1),Skills!$B$13&amp;", ","")&amp;IF(AND(BG114=1,Skills!$K$20=1),Skills!$B$14&amp;", ","")&amp;IF(AND(BH114=1,Skills!$L$20=1),Skills!$B$15&amp;", ","")&amp;IF(AND(BI114=1,Skills!$M$20=1),Skills!$B$16&amp;", ",""))="","",LEFT(IF(AND(AX114=1,Skills!$B$20=1),Skills!$B$5&amp;", ","")&amp;IF(AND(AY114=1,Skills!$C$20=1),Skills!$B$6&amp;", ","")&amp;IF(AND(AZ114=1,Skills!$D$20=1),Skills!$B$7&amp;", ","")&amp;IF(AND(BA114=1,Skills!$E$20=1),Skills!$B$8&amp;", ","")&amp;IF(AND(BB114=1,Skills!$F$20=1),Skills!$B$9&amp;", ","")&amp;IF(AND(BC114=1,Skills!$G$20=1),Skills!$B$10&amp;", ","")&amp;IF(AND(BD114=1,Skills!$H$20=1),Skills!$B$11&amp;", ","")&amp;IF(AND(BE114=1,Skills!$I$20=1),Skills!$B$12&amp;", ","")&amp;IF(AND(BF114=1,Skills!$J$20=1),Skills!$B$13&amp;", ","")&amp;IF(AND(BG114=1,Skills!$K$20=1),Skills!$B$14&amp;", ","")&amp;IF(AND(BH114=1,Skills!$L$20=1),Skills!$B$15&amp;", ","")&amp;IF(AND(BI114=1,Skills!$M$20=1),Skills!$B$16&amp;", ",""),LEN(IF(AND(AX114=1,Skills!$B$20=1),Skills!$B$5&amp;", ","")&amp;IF(AND(AY114=1,Skills!$C$20=1),Skills!$B$6&amp;", ","")&amp;IF(AND(AZ114=1,Skills!$D$20=1),Skills!$B$7&amp;", ","")&amp;IF(AND(BA114=1,Skills!$E$20=1),Skills!$B$8&amp;", ","")&amp;IF(AND(BB114=1,Skills!$F$20=1),Skills!$B$9&amp;", ","")&amp;IF(AND(BC114=1,Skills!$G$20=1),Skills!$B$10&amp;", ","")&amp;IF(AND(BD114=1,Skills!$H$20=1),Skills!$B$11&amp;", ","")&amp;IF(AND(BE114=1,Skills!$I$20=1),Skills!$B$12&amp;", ","")&amp;IF(AND(BF114=1,Skills!$J$20=1),Skills!$B$13&amp;", ","")&amp;IF(AND(BG114=1,Skills!$K$20=1),Skills!$B$14&amp;", ","")&amp;IF(AND(BH114=1,Skills!$L$20=1),Skills!$B$15&amp;", ","")&amp;IF(AND(BI114=1,Skills!$M$20=1),Skills!$B$16&amp;", ",""))-2)))</f>
        <v/>
      </c>
    </row>
    <row r="115">
      <c r="AD115" s="20" t="n"/>
      <c r="AE115" s="20" t="n"/>
      <c r="AF115" s="20" t="n"/>
      <c r="AG115" s="20" t="n"/>
      <c r="AH115" s="20" t="n"/>
      <c r="AI115" s="20" t="n"/>
      <c r="AJ115" s="20" t="n"/>
      <c r="AK115" s="20" t="n"/>
      <c r="AL115" s="20" t="n"/>
      <c r="AM115" s="20" t="n"/>
      <c r="AN115" s="20" t="n"/>
      <c r="AO115" s="20" t="n"/>
      <c r="AP115" s="20" t="n"/>
      <c r="AR115" s="31">
        <f>IF(IFERROR(TRIM(INDEX($A115:$AB115,MATCH(Lists!$B$5,$A$1:$AB$1,0))&amp;""),"")&lt;&gt;"",IFERROR(TRIM(INDEX($A115:$AB115,MATCH(Lists!$B$5,$A$1:$AB$1,0))&amp;""),""),IFERROR(TRIM(INDEX($A115:$AB115,MATCH(Lists!$B$3,$A$1:$AB$1,0))&amp;""),""))</f>
        <v/>
      </c>
      <c r="AS115" s="31">
        <f>IF(AR115="","",IF(IFERROR(TRIM(INDEX($A115:$AB115,MATCH(Lists!$B$5,$A$1:$AB$1,0))&amp;""),"")&lt;&gt;"","Nominated","Applied"))</f>
        <v/>
      </c>
      <c r="AT115" s="31">
        <f>IF(AR115="","",IF(IFERROR(TRIM(INDEX($A115:$AB115,MATCH(Lists!$B$5,$A$1:$AB$1,0))&amp;""),"")&lt;&gt;"",IFERROR(TRIM(INDEX($A115:$AB115,MATCH(Lists!$B$6,$A$1:$AB$1,0))&amp;""),""),IFERROR(TRIM(INDEX($A115:$AB115,MATCH(Lists!$B$4,$A$1:$AB$1,0))&amp;""),"")))</f>
        <v/>
      </c>
      <c r="AU115" s="31">
        <f>IF(AR115="","",IFERROR(TRIM(INDEX($A115:$AB115,MATCH(Lists!$B$7,$A$1:$AB$1,0))&amp;""),""))</f>
        <v/>
      </c>
      <c r="AV115" s="31">
        <f>IF(AR115="","",IFERROR(TRIM(INDEX($A115:$AB115,MATCH(Lists!$B$9,$A$1:$AB$1,0))&amp;""),""))</f>
        <v/>
      </c>
      <c r="AW115" s="31">
        <f>IF(AR115="","",IFERROR(TRIM(INDEX($A115:$AB115,MATCH(Lists!$B$8,$A$1:$AB$1,0))&amp;""),""))</f>
        <v/>
      </c>
      <c r="AX115" s="23">
        <f>IF(AR115="","",IF(OR(TRIM(AE115&amp;"")&lt;&gt;"",AND(Skills!$B$5&lt;&gt;"",ISNUMBER(SEARCH(Skills!$B$5,AU115)))),1,0))</f>
        <v/>
      </c>
      <c r="AY115" s="23">
        <f>IF(AR115="","",IF(OR(TRIM(AF115&amp;"")&lt;&gt;"",AND(Skills!$B$6&lt;&gt;"",ISNUMBER(SEARCH(Skills!$B$6,AU115)))),1,0))</f>
        <v/>
      </c>
      <c r="AZ115" s="23">
        <f>IF(AR115="","",IF(OR(TRIM(AG115&amp;"")&lt;&gt;"",AND(Skills!$B$7&lt;&gt;"",ISNUMBER(SEARCH(Skills!$B$7,AU115)))),1,0))</f>
        <v/>
      </c>
      <c r="BA115" s="23">
        <f>IF(AR115="","",IF(OR(TRIM(AH115&amp;"")&lt;&gt;"",AND(Skills!$B$8&lt;&gt;"",ISNUMBER(SEARCH(Skills!$B$8,AU115)))),1,0))</f>
        <v/>
      </c>
      <c r="BB115" s="23">
        <f>IF(AR115="","",IF(OR(TRIM(AI115&amp;"")&lt;&gt;"",AND(Skills!$B$9&lt;&gt;"",ISNUMBER(SEARCH(Skills!$B$9,AU115)))),1,0))</f>
        <v/>
      </c>
      <c r="BC115" s="23">
        <f>IF(AR115="","",IF(OR(TRIM(AJ115&amp;"")&lt;&gt;"",AND(Skills!$B$10&lt;&gt;"",ISNUMBER(SEARCH(Skills!$B$10,AU115)))),1,0))</f>
        <v/>
      </c>
      <c r="BD115" s="23">
        <f>IF(AR115="","",IF(OR(TRIM(AK115&amp;"")&lt;&gt;"",AND(Skills!$B$11&lt;&gt;"",ISNUMBER(SEARCH(Skills!$B$11,AU115)))),1,0))</f>
        <v/>
      </c>
      <c r="BE115" s="23">
        <f>IF(AR115="","",IF(OR(TRIM(AL115&amp;"")&lt;&gt;"",AND(Skills!$B$12&lt;&gt;"",ISNUMBER(SEARCH(Skills!$B$12,AU115)))),1,0))</f>
        <v/>
      </c>
      <c r="BF115" s="23">
        <f>IF(AR115="","",IF(OR(TRIM(AM115&amp;"")&lt;&gt;"",AND(Skills!$B$13&lt;&gt;"",ISNUMBER(SEARCH(Skills!$B$13,AU115)))),1,0))</f>
        <v/>
      </c>
      <c r="BG115" s="23">
        <f>IF(AR115="","",IF(OR(TRIM(AN115&amp;"")&lt;&gt;"",AND(Skills!$B$14&lt;&gt;"",ISNUMBER(SEARCH(Skills!$B$14,AU115)))),1,0))</f>
        <v/>
      </c>
      <c r="BH115" s="23">
        <f>IF(AR115="","",IF(OR(TRIM(AO115&amp;"")&lt;&gt;"",AND(Skills!$B$15&lt;&gt;"",ISNUMBER(SEARCH(Skills!$B$15,AU115)))),1,0))</f>
        <v/>
      </c>
      <c r="BI115" s="23">
        <f>IF(AR115="","",IF(OR(TRIM(AP115&amp;"")&lt;&gt;"",AND(Skills!$B$16&lt;&gt;"",ISNUMBER(SEARCH(Skills!$B$16,AU115)))),1,0))</f>
        <v/>
      </c>
      <c r="BJ115" s="23">
        <f>IF(AR115="","",SUMPRODUCT($AX115:$BI115,Skills!$B$20:$M$20))</f>
        <v/>
      </c>
      <c r="BK115" s="23">
        <f>IF(AR115="","",BJ115*100000+(100000-ROW()))</f>
        <v/>
      </c>
      <c r="BL115" s="31">
        <f>IF(AR115="","",IF((IF(AND(AX115=1,Skills!$B$20=1),Skills!$B$5&amp;", ","")&amp;IF(AND(AY115=1,Skills!$C$20=1),Skills!$B$6&amp;", ","")&amp;IF(AND(AZ115=1,Skills!$D$20=1),Skills!$B$7&amp;", ","")&amp;IF(AND(BA115=1,Skills!$E$20=1),Skills!$B$8&amp;", ","")&amp;IF(AND(BB115=1,Skills!$F$20=1),Skills!$B$9&amp;", ","")&amp;IF(AND(BC115=1,Skills!$G$20=1),Skills!$B$10&amp;", ","")&amp;IF(AND(BD115=1,Skills!$H$20=1),Skills!$B$11&amp;", ","")&amp;IF(AND(BE115=1,Skills!$I$20=1),Skills!$B$12&amp;", ","")&amp;IF(AND(BF115=1,Skills!$J$20=1),Skills!$B$13&amp;", ","")&amp;IF(AND(BG115=1,Skills!$K$20=1),Skills!$B$14&amp;", ","")&amp;IF(AND(BH115=1,Skills!$L$20=1),Skills!$B$15&amp;", ","")&amp;IF(AND(BI115=1,Skills!$M$20=1),Skills!$B$16&amp;", ",""))="","",LEFT(IF(AND(AX115=1,Skills!$B$20=1),Skills!$B$5&amp;", ","")&amp;IF(AND(AY115=1,Skills!$C$20=1),Skills!$B$6&amp;", ","")&amp;IF(AND(AZ115=1,Skills!$D$20=1),Skills!$B$7&amp;", ","")&amp;IF(AND(BA115=1,Skills!$E$20=1),Skills!$B$8&amp;", ","")&amp;IF(AND(BB115=1,Skills!$F$20=1),Skills!$B$9&amp;", ","")&amp;IF(AND(BC115=1,Skills!$G$20=1),Skills!$B$10&amp;", ","")&amp;IF(AND(BD115=1,Skills!$H$20=1),Skills!$B$11&amp;", ","")&amp;IF(AND(BE115=1,Skills!$I$20=1),Skills!$B$12&amp;", ","")&amp;IF(AND(BF115=1,Skills!$J$20=1),Skills!$B$13&amp;", ","")&amp;IF(AND(BG115=1,Skills!$K$20=1),Skills!$B$14&amp;", ","")&amp;IF(AND(BH115=1,Skills!$L$20=1),Skills!$B$15&amp;", ","")&amp;IF(AND(BI115=1,Skills!$M$20=1),Skills!$B$16&amp;", ",""),LEN(IF(AND(AX115=1,Skills!$B$20=1),Skills!$B$5&amp;", ","")&amp;IF(AND(AY115=1,Skills!$C$20=1),Skills!$B$6&amp;", ","")&amp;IF(AND(AZ115=1,Skills!$D$20=1),Skills!$B$7&amp;", ","")&amp;IF(AND(BA115=1,Skills!$E$20=1),Skills!$B$8&amp;", ","")&amp;IF(AND(BB115=1,Skills!$F$20=1),Skills!$B$9&amp;", ","")&amp;IF(AND(BC115=1,Skills!$G$20=1),Skills!$B$10&amp;", ","")&amp;IF(AND(BD115=1,Skills!$H$20=1),Skills!$B$11&amp;", ","")&amp;IF(AND(BE115=1,Skills!$I$20=1),Skills!$B$12&amp;", ","")&amp;IF(AND(BF115=1,Skills!$J$20=1),Skills!$B$13&amp;", ","")&amp;IF(AND(BG115=1,Skills!$K$20=1),Skills!$B$14&amp;", ","")&amp;IF(AND(BH115=1,Skills!$L$20=1),Skills!$B$15&amp;", ","")&amp;IF(AND(BI115=1,Skills!$M$20=1),Skills!$B$16&amp;", ",""))-2)))</f>
        <v/>
      </c>
    </row>
    <row r="116">
      <c r="AD116" s="20" t="n"/>
      <c r="AE116" s="20" t="n"/>
      <c r="AF116" s="20" t="n"/>
      <c r="AG116" s="20" t="n"/>
      <c r="AH116" s="20" t="n"/>
      <c r="AI116" s="20" t="n"/>
      <c r="AJ116" s="20" t="n"/>
      <c r="AK116" s="20" t="n"/>
      <c r="AL116" s="20" t="n"/>
      <c r="AM116" s="20" t="n"/>
      <c r="AN116" s="20" t="n"/>
      <c r="AO116" s="20" t="n"/>
      <c r="AP116" s="20" t="n"/>
      <c r="AR116" s="31">
        <f>IF(IFERROR(TRIM(INDEX($A116:$AB116,MATCH(Lists!$B$5,$A$1:$AB$1,0))&amp;""),"")&lt;&gt;"",IFERROR(TRIM(INDEX($A116:$AB116,MATCH(Lists!$B$5,$A$1:$AB$1,0))&amp;""),""),IFERROR(TRIM(INDEX($A116:$AB116,MATCH(Lists!$B$3,$A$1:$AB$1,0))&amp;""),""))</f>
        <v/>
      </c>
      <c r="AS116" s="31">
        <f>IF(AR116="","",IF(IFERROR(TRIM(INDEX($A116:$AB116,MATCH(Lists!$B$5,$A$1:$AB$1,0))&amp;""),"")&lt;&gt;"","Nominated","Applied"))</f>
        <v/>
      </c>
      <c r="AT116" s="31">
        <f>IF(AR116="","",IF(IFERROR(TRIM(INDEX($A116:$AB116,MATCH(Lists!$B$5,$A$1:$AB$1,0))&amp;""),"")&lt;&gt;"",IFERROR(TRIM(INDEX($A116:$AB116,MATCH(Lists!$B$6,$A$1:$AB$1,0))&amp;""),""),IFERROR(TRIM(INDEX($A116:$AB116,MATCH(Lists!$B$4,$A$1:$AB$1,0))&amp;""),"")))</f>
        <v/>
      </c>
      <c r="AU116" s="31">
        <f>IF(AR116="","",IFERROR(TRIM(INDEX($A116:$AB116,MATCH(Lists!$B$7,$A$1:$AB$1,0))&amp;""),""))</f>
        <v/>
      </c>
      <c r="AV116" s="31">
        <f>IF(AR116="","",IFERROR(TRIM(INDEX($A116:$AB116,MATCH(Lists!$B$9,$A$1:$AB$1,0))&amp;""),""))</f>
        <v/>
      </c>
      <c r="AW116" s="31">
        <f>IF(AR116="","",IFERROR(TRIM(INDEX($A116:$AB116,MATCH(Lists!$B$8,$A$1:$AB$1,0))&amp;""),""))</f>
        <v/>
      </c>
      <c r="AX116" s="23">
        <f>IF(AR116="","",IF(OR(TRIM(AE116&amp;"")&lt;&gt;"",AND(Skills!$B$5&lt;&gt;"",ISNUMBER(SEARCH(Skills!$B$5,AU116)))),1,0))</f>
        <v/>
      </c>
      <c r="AY116" s="23">
        <f>IF(AR116="","",IF(OR(TRIM(AF116&amp;"")&lt;&gt;"",AND(Skills!$B$6&lt;&gt;"",ISNUMBER(SEARCH(Skills!$B$6,AU116)))),1,0))</f>
        <v/>
      </c>
      <c r="AZ116" s="23">
        <f>IF(AR116="","",IF(OR(TRIM(AG116&amp;"")&lt;&gt;"",AND(Skills!$B$7&lt;&gt;"",ISNUMBER(SEARCH(Skills!$B$7,AU116)))),1,0))</f>
        <v/>
      </c>
      <c r="BA116" s="23">
        <f>IF(AR116="","",IF(OR(TRIM(AH116&amp;"")&lt;&gt;"",AND(Skills!$B$8&lt;&gt;"",ISNUMBER(SEARCH(Skills!$B$8,AU116)))),1,0))</f>
        <v/>
      </c>
      <c r="BB116" s="23">
        <f>IF(AR116="","",IF(OR(TRIM(AI116&amp;"")&lt;&gt;"",AND(Skills!$B$9&lt;&gt;"",ISNUMBER(SEARCH(Skills!$B$9,AU116)))),1,0))</f>
        <v/>
      </c>
      <c r="BC116" s="23">
        <f>IF(AR116="","",IF(OR(TRIM(AJ116&amp;"")&lt;&gt;"",AND(Skills!$B$10&lt;&gt;"",ISNUMBER(SEARCH(Skills!$B$10,AU116)))),1,0))</f>
        <v/>
      </c>
      <c r="BD116" s="23">
        <f>IF(AR116="","",IF(OR(TRIM(AK116&amp;"")&lt;&gt;"",AND(Skills!$B$11&lt;&gt;"",ISNUMBER(SEARCH(Skills!$B$11,AU116)))),1,0))</f>
        <v/>
      </c>
      <c r="BE116" s="23">
        <f>IF(AR116="","",IF(OR(TRIM(AL116&amp;"")&lt;&gt;"",AND(Skills!$B$12&lt;&gt;"",ISNUMBER(SEARCH(Skills!$B$12,AU116)))),1,0))</f>
        <v/>
      </c>
      <c r="BF116" s="23">
        <f>IF(AR116="","",IF(OR(TRIM(AM116&amp;"")&lt;&gt;"",AND(Skills!$B$13&lt;&gt;"",ISNUMBER(SEARCH(Skills!$B$13,AU116)))),1,0))</f>
        <v/>
      </c>
      <c r="BG116" s="23">
        <f>IF(AR116="","",IF(OR(TRIM(AN116&amp;"")&lt;&gt;"",AND(Skills!$B$14&lt;&gt;"",ISNUMBER(SEARCH(Skills!$B$14,AU116)))),1,0))</f>
        <v/>
      </c>
      <c r="BH116" s="23">
        <f>IF(AR116="","",IF(OR(TRIM(AO116&amp;"")&lt;&gt;"",AND(Skills!$B$15&lt;&gt;"",ISNUMBER(SEARCH(Skills!$B$15,AU116)))),1,0))</f>
        <v/>
      </c>
      <c r="BI116" s="23">
        <f>IF(AR116="","",IF(OR(TRIM(AP116&amp;"")&lt;&gt;"",AND(Skills!$B$16&lt;&gt;"",ISNUMBER(SEARCH(Skills!$B$16,AU116)))),1,0))</f>
        <v/>
      </c>
      <c r="BJ116" s="23">
        <f>IF(AR116="","",SUMPRODUCT($AX116:$BI116,Skills!$B$20:$M$20))</f>
        <v/>
      </c>
      <c r="BK116" s="23">
        <f>IF(AR116="","",BJ116*100000+(100000-ROW()))</f>
        <v/>
      </c>
      <c r="BL116" s="31">
        <f>IF(AR116="","",IF((IF(AND(AX116=1,Skills!$B$20=1),Skills!$B$5&amp;", ","")&amp;IF(AND(AY116=1,Skills!$C$20=1),Skills!$B$6&amp;", ","")&amp;IF(AND(AZ116=1,Skills!$D$20=1),Skills!$B$7&amp;", ","")&amp;IF(AND(BA116=1,Skills!$E$20=1),Skills!$B$8&amp;", ","")&amp;IF(AND(BB116=1,Skills!$F$20=1),Skills!$B$9&amp;", ","")&amp;IF(AND(BC116=1,Skills!$G$20=1),Skills!$B$10&amp;", ","")&amp;IF(AND(BD116=1,Skills!$H$20=1),Skills!$B$11&amp;", ","")&amp;IF(AND(BE116=1,Skills!$I$20=1),Skills!$B$12&amp;", ","")&amp;IF(AND(BF116=1,Skills!$J$20=1),Skills!$B$13&amp;", ","")&amp;IF(AND(BG116=1,Skills!$K$20=1),Skills!$B$14&amp;", ","")&amp;IF(AND(BH116=1,Skills!$L$20=1),Skills!$B$15&amp;", ","")&amp;IF(AND(BI116=1,Skills!$M$20=1),Skills!$B$16&amp;", ",""))="","",LEFT(IF(AND(AX116=1,Skills!$B$20=1),Skills!$B$5&amp;", ","")&amp;IF(AND(AY116=1,Skills!$C$20=1),Skills!$B$6&amp;", ","")&amp;IF(AND(AZ116=1,Skills!$D$20=1),Skills!$B$7&amp;", ","")&amp;IF(AND(BA116=1,Skills!$E$20=1),Skills!$B$8&amp;", ","")&amp;IF(AND(BB116=1,Skills!$F$20=1),Skills!$B$9&amp;", ","")&amp;IF(AND(BC116=1,Skills!$G$20=1),Skills!$B$10&amp;", ","")&amp;IF(AND(BD116=1,Skills!$H$20=1),Skills!$B$11&amp;", ","")&amp;IF(AND(BE116=1,Skills!$I$20=1),Skills!$B$12&amp;", ","")&amp;IF(AND(BF116=1,Skills!$J$20=1),Skills!$B$13&amp;", ","")&amp;IF(AND(BG116=1,Skills!$K$20=1),Skills!$B$14&amp;", ","")&amp;IF(AND(BH116=1,Skills!$L$20=1),Skills!$B$15&amp;", ","")&amp;IF(AND(BI116=1,Skills!$M$20=1),Skills!$B$16&amp;", ",""),LEN(IF(AND(AX116=1,Skills!$B$20=1),Skills!$B$5&amp;", ","")&amp;IF(AND(AY116=1,Skills!$C$20=1),Skills!$B$6&amp;", ","")&amp;IF(AND(AZ116=1,Skills!$D$20=1),Skills!$B$7&amp;", ","")&amp;IF(AND(BA116=1,Skills!$E$20=1),Skills!$B$8&amp;", ","")&amp;IF(AND(BB116=1,Skills!$F$20=1),Skills!$B$9&amp;", ","")&amp;IF(AND(BC116=1,Skills!$G$20=1),Skills!$B$10&amp;", ","")&amp;IF(AND(BD116=1,Skills!$H$20=1),Skills!$B$11&amp;", ","")&amp;IF(AND(BE116=1,Skills!$I$20=1),Skills!$B$12&amp;", ","")&amp;IF(AND(BF116=1,Skills!$J$20=1),Skills!$B$13&amp;", ","")&amp;IF(AND(BG116=1,Skills!$K$20=1),Skills!$B$14&amp;", ","")&amp;IF(AND(BH116=1,Skills!$L$20=1),Skills!$B$15&amp;", ","")&amp;IF(AND(BI116=1,Skills!$M$20=1),Skills!$B$16&amp;", ",""))-2)))</f>
        <v/>
      </c>
    </row>
    <row r="117">
      <c r="AD117" s="20" t="n"/>
      <c r="AE117" s="20" t="n"/>
      <c r="AF117" s="20" t="n"/>
      <c r="AG117" s="20" t="n"/>
      <c r="AH117" s="20" t="n"/>
      <c r="AI117" s="20" t="n"/>
      <c r="AJ117" s="20" t="n"/>
      <c r="AK117" s="20" t="n"/>
      <c r="AL117" s="20" t="n"/>
      <c r="AM117" s="20" t="n"/>
      <c r="AN117" s="20" t="n"/>
      <c r="AO117" s="20" t="n"/>
      <c r="AP117" s="20" t="n"/>
      <c r="AR117" s="31">
        <f>IF(IFERROR(TRIM(INDEX($A117:$AB117,MATCH(Lists!$B$5,$A$1:$AB$1,0))&amp;""),"")&lt;&gt;"",IFERROR(TRIM(INDEX($A117:$AB117,MATCH(Lists!$B$5,$A$1:$AB$1,0))&amp;""),""),IFERROR(TRIM(INDEX($A117:$AB117,MATCH(Lists!$B$3,$A$1:$AB$1,0))&amp;""),""))</f>
        <v/>
      </c>
      <c r="AS117" s="31">
        <f>IF(AR117="","",IF(IFERROR(TRIM(INDEX($A117:$AB117,MATCH(Lists!$B$5,$A$1:$AB$1,0))&amp;""),"")&lt;&gt;"","Nominated","Applied"))</f>
        <v/>
      </c>
      <c r="AT117" s="31">
        <f>IF(AR117="","",IF(IFERROR(TRIM(INDEX($A117:$AB117,MATCH(Lists!$B$5,$A$1:$AB$1,0))&amp;""),"")&lt;&gt;"",IFERROR(TRIM(INDEX($A117:$AB117,MATCH(Lists!$B$6,$A$1:$AB$1,0))&amp;""),""),IFERROR(TRIM(INDEX($A117:$AB117,MATCH(Lists!$B$4,$A$1:$AB$1,0))&amp;""),"")))</f>
        <v/>
      </c>
      <c r="AU117" s="31">
        <f>IF(AR117="","",IFERROR(TRIM(INDEX($A117:$AB117,MATCH(Lists!$B$7,$A$1:$AB$1,0))&amp;""),""))</f>
        <v/>
      </c>
      <c r="AV117" s="31">
        <f>IF(AR117="","",IFERROR(TRIM(INDEX($A117:$AB117,MATCH(Lists!$B$9,$A$1:$AB$1,0))&amp;""),""))</f>
        <v/>
      </c>
      <c r="AW117" s="31">
        <f>IF(AR117="","",IFERROR(TRIM(INDEX($A117:$AB117,MATCH(Lists!$B$8,$A$1:$AB$1,0))&amp;""),""))</f>
        <v/>
      </c>
      <c r="AX117" s="23">
        <f>IF(AR117="","",IF(OR(TRIM(AE117&amp;"")&lt;&gt;"",AND(Skills!$B$5&lt;&gt;"",ISNUMBER(SEARCH(Skills!$B$5,AU117)))),1,0))</f>
        <v/>
      </c>
      <c r="AY117" s="23">
        <f>IF(AR117="","",IF(OR(TRIM(AF117&amp;"")&lt;&gt;"",AND(Skills!$B$6&lt;&gt;"",ISNUMBER(SEARCH(Skills!$B$6,AU117)))),1,0))</f>
        <v/>
      </c>
      <c r="AZ117" s="23">
        <f>IF(AR117="","",IF(OR(TRIM(AG117&amp;"")&lt;&gt;"",AND(Skills!$B$7&lt;&gt;"",ISNUMBER(SEARCH(Skills!$B$7,AU117)))),1,0))</f>
        <v/>
      </c>
      <c r="BA117" s="23">
        <f>IF(AR117="","",IF(OR(TRIM(AH117&amp;"")&lt;&gt;"",AND(Skills!$B$8&lt;&gt;"",ISNUMBER(SEARCH(Skills!$B$8,AU117)))),1,0))</f>
        <v/>
      </c>
      <c r="BB117" s="23">
        <f>IF(AR117="","",IF(OR(TRIM(AI117&amp;"")&lt;&gt;"",AND(Skills!$B$9&lt;&gt;"",ISNUMBER(SEARCH(Skills!$B$9,AU117)))),1,0))</f>
        <v/>
      </c>
      <c r="BC117" s="23">
        <f>IF(AR117="","",IF(OR(TRIM(AJ117&amp;"")&lt;&gt;"",AND(Skills!$B$10&lt;&gt;"",ISNUMBER(SEARCH(Skills!$B$10,AU117)))),1,0))</f>
        <v/>
      </c>
      <c r="BD117" s="23">
        <f>IF(AR117="","",IF(OR(TRIM(AK117&amp;"")&lt;&gt;"",AND(Skills!$B$11&lt;&gt;"",ISNUMBER(SEARCH(Skills!$B$11,AU117)))),1,0))</f>
        <v/>
      </c>
      <c r="BE117" s="23">
        <f>IF(AR117="","",IF(OR(TRIM(AL117&amp;"")&lt;&gt;"",AND(Skills!$B$12&lt;&gt;"",ISNUMBER(SEARCH(Skills!$B$12,AU117)))),1,0))</f>
        <v/>
      </c>
      <c r="BF117" s="23">
        <f>IF(AR117="","",IF(OR(TRIM(AM117&amp;"")&lt;&gt;"",AND(Skills!$B$13&lt;&gt;"",ISNUMBER(SEARCH(Skills!$B$13,AU117)))),1,0))</f>
        <v/>
      </c>
      <c r="BG117" s="23">
        <f>IF(AR117="","",IF(OR(TRIM(AN117&amp;"")&lt;&gt;"",AND(Skills!$B$14&lt;&gt;"",ISNUMBER(SEARCH(Skills!$B$14,AU117)))),1,0))</f>
        <v/>
      </c>
      <c r="BH117" s="23">
        <f>IF(AR117="","",IF(OR(TRIM(AO117&amp;"")&lt;&gt;"",AND(Skills!$B$15&lt;&gt;"",ISNUMBER(SEARCH(Skills!$B$15,AU117)))),1,0))</f>
        <v/>
      </c>
      <c r="BI117" s="23">
        <f>IF(AR117="","",IF(OR(TRIM(AP117&amp;"")&lt;&gt;"",AND(Skills!$B$16&lt;&gt;"",ISNUMBER(SEARCH(Skills!$B$16,AU117)))),1,0))</f>
        <v/>
      </c>
      <c r="BJ117" s="23">
        <f>IF(AR117="","",SUMPRODUCT($AX117:$BI117,Skills!$B$20:$M$20))</f>
        <v/>
      </c>
      <c r="BK117" s="23">
        <f>IF(AR117="","",BJ117*100000+(100000-ROW()))</f>
        <v/>
      </c>
      <c r="BL117" s="31">
        <f>IF(AR117="","",IF((IF(AND(AX117=1,Skills!$B$20=1),Skills!$B$5&amp;", ","")&amp;IF(AND(AY117=1,Skills!$C$20=1),Skills!$B$6&amp;", ","")&amp;IF(AND(AZ117=1,Skills!$D$20=1),Skills!$B$7&amp;", ","")&amp;IF(AND(BA117=1,Skills!$E$20=1),Skills!$B$8&amp;", ","")&amp;IF(AND(BB117=1,Skills!$F$20=1),Skills!$B$9&amp;", ","")&amp;IF(AND(BC117=1,Skills!$G$20=1),Skills!$B$10&amp;", ","")&amp;IF(AND(BD117=1,Skills!$H$20=1),Skills!$B$11&amp;", ","")&amp;IF(AND(BE117=1,Skills!$I$20=1),Skills!$B$12&amp;", ","")&amp;IF(AND(BF117=1,Skills!$J$20=1),Skills!$B$13&amp;", ","")&amp;IF(AND(BG117=1,Skills!$K$20=1),Skills!$B$14&amp;", ","")&amp;IF(AND(BH117=1,Skills!$L$20=1),Skills!$B$15&amp;", ","")&amp;IF(AND(BI117=1,Skills!$M$20=1),Skills!$B$16&amp;", ",""))="","",LEFT(IF(AND(AX117=1,Skills!$B$20=1),Skills!$B$5&amp;", ","")&amp;IF(AND(AY117=1,Skills!$C$20=1),Skills!$B$6&amp;", ","")&amp;IF(AND(AZ117=1,Skills!$D$20=1),Skills!$B$7&amp;", ","")&amp;IF(AND(BA117=1,Skills!$E$20=1),Skills!$B$8&amp;", ","")&amp;IF(AND(BB117=1,Skills!$F$20=1),Skills!$B$9&amp;", ","")&amp;IF(AND(BC117=1,Skills!$G$20=1),Skills!$B$10&amp;", ","")&amp;IF(AND(BD117=1,Skills!$H$20=1),Skills!$B$11&amp;", ","")&amp;IF(AND(BE117=1,Skills!$I$20=1),Skills!$B$12&amp;", ","")&amp;IF(AND(BF117=1,Skills!$J$20=1),Skills!$B$13&amp;", ","")&amp;IF(AND(BG117=1,Skills!$K$20=1),Skills!$B$14&amp;", ","")&amp;IF(AND(BH117=1,Skills!$L$20=1),Skills!$B$15&amp;", ","")&amp;IF(AND(BI117=1,Skills!$M$20=1),Skills!$B$16&amp;", ",""),LEN(IF(AND(AX117=1,Skills!$B$20=1),Skills!$B$5&amp;", ","")&amp;IF(AND(AY117=1,Skills!$C$20=1),Skills!$B$6&amp;", ","")&amp;IF(AND(AZ117=1,Skills!$D$20=1),Skills!$B$7&amp;", ","")&amp;IF(AND(BA117=1,Skills!$E$20=1),Skills!$B$8&amp;", ","")&amp;IF(AND(BB117=1,Skills!$F$20=1),Skills!$B$9&amp;", ","")&amp;IF(AND(BC117=1,Skills!$G$20=1),Skills!$B$10&amp;", ","")&amp;IF(AND(BD117=1,Skills!$H$20=1),Skills!$B$11&amp;", ","")&amp;IF(AND(BE117=1,Skills!$I$20=1),Skills!$B$12&amp;", ","")&amp;IF(AND(BF117=1,Skills!$J$20=1),Skills!$B$13&amp;", ","")&amp;IF(AND(BG117=1,Skills!$K$20=1),Skills!$B$14&amp;", ","")&amp;IF(AND(BH117=1,Skills!$L$20=1),Skills!$B$15&amp;", ","")&amp;IF(AND(BI117=1,Skills!$M$20=1),Skills!$B$16&amp;", ",""))-2)))</f>
        <v/>
      </c>
    </row>
    <row r="118">
      <c r="AD118" s="20" t="n"/>
      <c r="AE118" s="20" t="n"/>
      <c r="AF118" s="20" t="n"/>
      <c r="AG118" s="20" t="n"/>
      <c r="AH118" s="20" t="n"/>
      <c r="AI118" s="20" t="n"/>
      <c r="AJ118" s="20" t="n"/>
      <c r="AK118" s="20" t="n"/>
      <c r="AL118" s="20" t="n"/>
      <c r="AM118" s="20" t="n"/>
      <c r="AN118" s="20" t="n"/>
      <c r="AO118" s="20" t="n"/>
      <c r="AP118" s="20" t="n"/>
      <c r="AR118" s="31">
        <f>IF(IFERROR(TRIM(INDEX($A118:$AB118,MATCH(Lists!$B$5,$A$1:$AB$1,0))&amp;""),"")&lt;&gt;"",IFERROR(TRIM(INDEX($A118:$AB118,MATCH(Lists!$B$5,$A$1:$AB$1,0))&amp;""),""),IFERROR(TRIM(INDEX($A118:$AB118,MATCH(Lists!$B$3,$A$1:$AB$1,0))&amp;""),""))</f>
        <v/>
      </c>
      <c r="AS118" s="31">
        <f>IF(AR118="","",IF(IFERROR(TRIM(INDEX($A118:$AB118,MATCH(Lists!$B$5,$A$1:$AB$1,0))&amp;""),"")&lt;&gt;"","Nominated","Applied"))</f>
        <v/>
      </c>
      <c r="AT118" s="31">
        <f>IF(AR118="","",IF(IFERROR(TRIM(INDEX($A118:$AB118,MATCH(Lists!$B$5,$A$1:$AB$1,0))&amp;""),"")&lt;&gt;"",IFERROR(TRIM(INDEX($A118:$AB118,MATCH(Lists!$B$6,$A$1:$AB$1,0))&amp;""),""),IFERROR(TRIM(INDEX($A118:$AB118,MATCH(Lists!$B$4,$A$1:$AB$1,0))&amp;""),"")))</f>
        <v/>
      </c>
      <c r="AU118" s="31">
        <f>IF(AR118="","",IFERROR(TRIM(INDEX($A118:$AB118,MATCH(Lists!$B$7,$A$1:$AB$1,0))&amp;""),""))</f>
        <v/>
      </c>
      <c r="AV118" s="31">
        <f>IF(AR118="","",IFERROR(TRIM(INDEX($A118:$AB118,MATCH(Lists!$B$9,$A$1:$AB$1,0))&amp;""),""))</f>
        <v/>
      </c>
      <c r="AW118" s="31">
        <f>IF(AR118="","",IFERROR(TRIM(INDEX($A118:$AB118,MATCH(Lists!$B$8,$A$1:$AB$1,0))&amp;""),""))</f>
        <v/>
      </c>
      <c r="AX118" s="23">
        <f>IF(AR118="","",IF(OR(TRIM(AE118&amp;"")&lt;&gt;"",AND(Skills!$B$5&lt;&gt;"",ISNUMBER(SEARCH(Skills!$B$5,AU118)))),1,0))</f>
        <v/>
      </c>
      <c r="AY118" s="23">
        <f>IF(AR118="","",IF(OR(TRIM(AF118&amp;"")&lt;&gt;"",AND(Skills!$B$6&lt;&gt;"",ISNUMBER(SEARCH(Skills!$B$6,AU118)))),1,0))</f>
        <v/>
      </c>
      <c r="AZ118" s="23">
        <f>IF(AR118="","",IF(OR(TRIM(AG118&amp;"")&lt;&gt;"",AND(Skills!$B$7&lt;&gt;"",ISNUMBER(SEARCH(Skills!$B$7,AU118)))),1,0))</f>
        <v/>
      </c>
      <c r="BA118" s="23">
        <f>IF(AR118="","",IF(OR(TRIM(AH118&amp;"")&lt;&gt;"",AND(Skills!$B$8&lt;&gt;"",ISNUMBER(SEARCH(Skills!$B$8,AU118)))),1,0))</f>
        <v/>
      </c>
      <c r="BB118" s="23">
        <f>IF(AR118="","",IF(OR(TRIM(AI118&amp;"")&lt;&gt;"",AND(Skills!$B$9&lt;&gt;"",ISNUMBER(SEARCH(Skills!$B$9,AU118)))),1,0))</f>
        <v/>
      </c>
      <c r="BC118" s="23">
        <f>IF(AR118="","",IF(OR(TRIM(AJ118&amp;"")&lt;&gt;"",AND(Skills!$B$10&lt;&gt;"",ISNUMBER(SEARCH(Skills!$B$10,AU118)))),1,0))</f>
        <v/>
      </c>
      <c r="BD118" s="23">
        <f>IF(AR118="","",IF(OR(TRIM(AK118&amp;"")&lt;&gt;"",AND(Skills!$B$11&lt;&gt;"",ISNUMBER(SEARCH(Skills!$B$11,AU118)))),1,0))</f>
        <v/>
      </c>
      <c r="BE118" s="23">
        <f>IF(AR118="","",IF(OR(TRIM(AL118&amp;"")&lt;&gt;"",AND(Skills!$B$12&lt;&gt;"",ISNUMBER(SEARCH(Skills!$B$12,AU118)))),1,0))</f>
        <v/>
      </c>
      <c r="BF118" s="23">
        <f>IF(AR118="","",IF(OR(TRIM(AM118&amp;"")&lt;&gt;"",AND(Skills!$B$13&lt;&gt;"",ISNUMBER(SEARCH(Skills!$B$13,AU118)))),1,0))</f>
        <v/>
      </c>
      <c r="BG118" s="23">
        <f>IF(AR118="","",IF(OR(TRIM(AN118&amp;"")&lt;&gt;"",AND(Skills!$B$14&lt;&gt;"",ISNUMBER(SEARCH(Skills!$B$14,AU118)))),1,0))</f>
        <v/>
      </c>
      <c r="BH118" s="23">
        <f>IF(AR118="","",IF(OR(TRIM(AO118&amp;"")&lt;&gt;"",AND(Skills!$B$15&lt;&gt;"",ISNUMBER(SEARCH(Skills!$B$15,AU118)))),1,0))</f>
        <v/>
      </c>
      <c r="BI118" s="23">
        <f>IF(AR118="","",IF(OR(TRIM(AP118&amp;"")&lt;&gt;"",AND(Skills!$B$16&lt;&gt;"",ISNUMBER(SEARCH(Skills!$B$16,AU118)))),1,0))</f>
        <v/>
      </c>
      <c r="BJ118" s="23">
        <f>IF(AR118="","",SUMPRODUCT($AX118:$BI118,Skills!$B$20:$M$20))</f>
        <v/>
      </c>
      <c r="BK118" s="23">
        <f>IF(AR118="","",BJ118*100000+(100000-ROW()))</f>
        <v/>
      </c>
      <c r="BL118" s="31">
        <f>IF(AR118="","",IF((IF(AND(AX118=1,Skills!$B$20=1),Skills!$B$5&amp;", ","")&amp;IF(AND(AY118=1,Skills!$C$20=1),Skills!$B$6&amp;", ","")&amp;IF(AND(AZ118=1,Skills!$D$20=1),Skills!$B$7&amp;", ","")&amp;IF(AND(BA118=1,Skills!$E$20=1),Skills!$B$8&amp;", ","")&amp;IF(AND(BB118=1,Skills!$F$20=1),Skills!$B$9&amp;", ","")&amp;IF(AND(BC118=1,Skills!$G$20=1),Skills!$B$10&amp;", ","")&amp;IF(AND(BD118=1,Skills!$H$20=1),Skills!$B$11&amp;", ","")&amp;IF(AND(BE118=1,Skills!$I$20=1),Skills!$B$12&amp;", ","")&amp;IF(AND(BF118=1,Skills!$J$20=1),Skills!$B$13&amp;", ","")&amp;IF(AND(BG118=1,Skills!$K$20=1),Skills!$B$14&amp;", ","")&amp;IF(AND(BH118=1,Skills!$L$20=1),Skills!$B$15&amp;", ","")&amp;IF(AND(BI118=1,Skills!$M$20=1),Skills!$B$16&amp;", ",""))="","",LEFT(IF(AND(AX118=1,Skills!$B$20=1),Skills!$B$5&amp;", ","")&amp;IF(AND(AY118=1,Skills!$C$20=1),Skills!$B$6&amp;", ","")&amp;IF(AND(AZ118=1,Skills!$D$20=1),Skills!$B$7&amp;", ","")&amp;IF(AND(BA118=1,Skills!$E$20=1),Skills!$B$8&amp;", ","")&amp;IF(AND(BB118=1,Skills!$F$20=1),Skills!$B$9&amp;", ","")&amp;IF(AND(BC118=1,Skills!$G$20=1),Skills!$B$10&amp;", ","")&amp;IF(AND(BD118=1,Skills!$H$20=1),Skills!$B$11&amp;", ","")&amp;IF(AND(BE118=1,Skills!$I$20=1),Skills!$B$12&amp;", ","")&amp;IF(AND(BF118=1,Skills!$J$20=1),Skills!$B$13&amp;", ","")&amp;IF(AND(BG118=1,Skills!$K$20=1),Skills!$B$14&amp;", ","")&amp;IF(AND(BH118=1,Skills!$L$20=1),Skills!$B$15&amp;", ","")&amp;IF(AND(BI118=1,Skills!$M$20=1),Skills!$B$16&amp;", ",""),LEN(IF(AND(AX118=1,Skills!$B$20=1),Skills!$B$5&amp;", ","")&amp;IF(AND(AY118=1,Skills!$C$20=1),Skills!$B$6&amp;", ","")&amp;IF(AND(AZ118=1,Skills!$D$20=1),Skills!$B$7&amp;", ","")&amp;IF(AND(BA118=1,Skills!$E$20=1),Skills!$B$8&amp;", ","")&amp;IF(AND(BB118=1,Skills!$F$20=1),Skills!$B$9&amp;", ","")&amp;IF(AND(BC118=1,Skills!$G$20=1),Skills!$B$10&amp;", ","")&amp;IF(AND(BD118=1,Skills!$H$20=1),Skills!$B$11&amp;", ","")&amp;IF(AND(BE118=1,Skills!$I$20=1),Skills!$B$12&amp;", ","")&amp;IF(AND(BF118=1,Skills!$J$20=1),Skills!$B$13&amp;", ","")&amp;IF(AND(BG118=1,Skills!$K$20=1),Skills!$B$14&amp;", ","")&amp;IF(AND(BH118=1,Skills!$L$20=1),Skills!$B$15&amp;", ","")&amp;IF(AND(BI118=1,Skills!$M$20=1),Skills!$B$16&amp;", ",""))-2)))</f>
        <v/>
      </c>
    </row>
    <row r="119">
      <c r="AD119" s="20" t="n"/>
      <c r="AE119" s="20" t="n"/>
      <c r="AF119" s="20" t="n"/>
      <c r="AG119" s="20" t="n"/>
      <c r="AH119" s="20" t="n"/>
      <c r="AI119" s="20" t="n"/>
      <c r="AJ119" s="20" t="n"/>
      <c r="AK119" s="20" t="n"/>
      <c r="AL119" s="20" t="n"/>
      <c r="AM119" s="20" t="n"/>
      <c r="AN119" s="20" t="n"/>
      <c r="AO119" s="20" t="n"/>
      <c r="AP119" s="20" t="n"/>
      <c r="AR119" s="31">
        <f>IF(IFERROR(TRIM(INDEX($A119:$AB119,MATCH(Lists!$B$5,$A$1:$AB$1,0))&amp;""),"")&lt;&gt;"",IFERROR(TRIM(INDEX($A119:$AB119,MATCH(Lists!$B$5,$A$1:$AB$1,0))&amp;""),""),IFERROR(TRIM(INDEX($A119:$AB119,MATCH(Lists!$B$3,$A$1:$AB$1,0))&amp;""),""))</f>
        <v/>
      </c>
      <c r="AS119" s="31">
        <f>IF(AR119="","",IF(IFERROR(TRIM(INDEX($A119:$AB119,MATCH(Lists!$B$5,$A$1:$AB$1,0))&amp;""),"")&lt;&gt;"","Nominated","Applied"))</f>
        <v/>
      </c>
      <c r="AT119" s="31">
        <f>IF(AR119="","",IF(IFERROR(TRIM(INDEX($A119:$AB119,MATCH(Lists!$B$5,$A$1:$AB$1,0))&amp;""),"")&lt;&gt;"",IFERROR(TRIM(INDEX($A119:$AB119,MATCH(Lists!$B$6,$A$1:$AB$1,0))&amp;""),""),IFERROR(TRIM(INDEX($A119:$AB119,MATCH(Lists!$B$4,$A$1:$AB$1,0))&amp;""),"")))</f>
        <v/>
      </c>
      <c r="AU119" s="31">
        <f>IF(AR119="","",IFERROR(TRIM(INDEX($A119:$AB119,MATCH(Lists!$B$7,$A$1:$AB$1,0))&amp;""),""))</f>
        <v/>
      </c>
      <c r="AV119" s="31">
        <f>IF(AR119="","",IFERROR(TRIM(INDEX($A119:$AB119,MATCH(Lists!$B$9,$A$1:$AB$1,0))&amp;""),""))</f>
        <v/>
      </c>
      <c r="AW119" s="31">
        <f>IF(AR119="","",IFERROR(TRIM(INDEX($A119:$AB119,MATCH(Lists!$B$8,$A$1:$AB$1,0))&amp;""),""))</f>
        <v/>
      </c>
      <c r="AX119" s="23">
        <f>IF(AR119="","",IF(OR(TRIM(AE119&amp;"")&lt;&gt;"",AND(Skills!$B$5&lt;&gt;"",ISNUMBER(SEARCH(Skills!$B$5,AU119)))),1,0))</f>
        <v/>
      </c>
      <c r="AY119" s="23">
        <f>IF(AR119="","",IF(OR(TRIM(AF119&amp;"")&lt;&gt;"",AND(Skills!$B$6&lt;&gt;"",ISNUMBER(SEARCH(Skills!$B$6,AU119)))),1,0))</f>
        <v/>
      </c>
      <c r="AZ119" s="23">
        <f>IF(AR119="","",IF(OR(TRIM(AG119&amp;"")&lt;&gt;"",AND(Skills!$B$7&lt;&gt;"",ISNUMBER(SEARCH(Skills!$B$7,AU119)))),1,0))</f>
        <v/>
      </c>
      <c r="BA119" s="23">
        <f>IF(AR119="","",IF(OR(TRIM(AH119&amp;"")&lt;&gt;"",AND(Skills!$B$8&lt;&gt;"",ISNUMBER(SEARCH(Skills!$B$8,AU119)))),1,0))</f>
        <v/>
      </c>
      <c r="BB119" s="23">
        <f>IF(AR119="","",IF(OR(TRIM(AI119&amp;"")&lt;&gt;"",AND(Skills!$B$9&lt;&gt;"",ISNUMBER(SEARCH(Skills!$B$9,AU119)))),1,0))</f>
        <v/>
      </c>
      <c r="BC119" s="23">
        <f>IF(AR119="","",IF(OR(TRIM(AJ119&amp;"")&lt;&gt;"",AND(Skills!$B$10&lt;&gt;"",ISNUMBER(SEARCH(Skills!$B$10,AU119)))),1,0))</f>
        <v/>
      </c>
      <c r="BD119" s="23">
        <f>IF(AR119="","",IF(OR(TRIM(AK119&amp;"")&lt;&gt;"",AND(Skills!$B$11&lt;&gt;"",ISNUMBER(SEARCH(Skills!$B$11,AU119)))),1,0))</f>
        <v/>
      </c>
      <c r="BE119" s="23">
        <f>IF(AR119="","",IF(OR(TRIM(AL119&amp;"")&lt;&gt;"",AND(Skills!$B$12&lt;&gt;"",ISNUMBER(SEARCH(Skills!$B$12,AU119)))),1,0))</f>
        <v/>
      </c>
      <c r="BF119" s="23">
        <f>IF(AR119="","",IF(OR(TRIM(AM119&amp;"")&lt;&gt;"",AND(Skills!$B$13&lt;&gt;"",ISNUMBER(SEARCH(Skills!$B$13,AU119)))),1,0))</f>
        <v/>
      </c>
      <c r="BG119" s="23">
        <f>IF(AR119="","",IF(OR(TRIM(AN119&amp;"")&lt;&gt;"",AND(Skills!$B$14&lt;&gt;"",ISNUMBER(SEARCH(Skills!$B$14,AU119)))),1,0))</f>
        <v/>
      </c>
      <c r="BH119" s="23">
        <f>IF(AR119="","",IF(OR(TRIM(AO119&amp;"")&lt;&gt;"",AND(Skills!$B$15&lt;&gt;"",ISNUMBER(SEARCH(Skills!$B$15,AU119)))),1,0))</f>
        <v/>
      </c>
      <c r="BI119" s="23">
        <f>IF(AR119="","",IF(OR(TRIM(AP119&amp;"")&lt;&gt;"",AND(Skills!$B$16&lt;&gt;"",ISNUMBER(SEARCH(Skills!$B$16,AU119)))),1,0))</f>
        <v/>
      </c>
      <c r="BJ119" s="23">
        <f>IF(AR119="","",SUMPRODUCT($AX119:$BI119,Skills!$B$20:$M$20))</f>
        <v/>
      </c>
      <c r="BK119" s="23">
        <f>IF(AR119="","",BJ119*100000+(100000-ROW()))</f>
        <v/>
      </c>
      <c r="BL119" s="31">
        <f>IF(AR119="","",IF((IF(AND(AX119=1,Skills!$B$20=1),Skills!$B$5&amp;", ","")&amp;IF(AND(AY119=1,Skills!$C$20=1),Skills!$B$6&amp;", ","")&amp;IF(AND(AZ119=1,Skills!$D$20=1),Skills!$B$7&amp;", ","")&amp;IF(AND(BA119=1,Skills!$E$20=1),Skills!$B$8&amp;", ","")&amp;IF(AND(BB119=1,Skills!$F$20=1),Skills!$B$9&amp;", ","")&amp;IF(AND(BC119=1,Skills!$G$20=1),Skills!$B$10&amp;", ","")&amp;IF(AND(BD119=1,Skills!$H$20=1),Skills!$B$11&amp;", ","")&amp;IF(AND(BE119=1,Skills!$I$20=1),Skills!$B$12&amp;", ","")&amp;IF(AND(BF119=1,Skills!$J$20=1),Skills!$B$13&amp;", ","")&amp;IF(AND(BG119=1,Skills!$K$20=1),Skills!$B$14&amp;", ","")&amp;IF(AND(BH119=1,Skills!$L$20=1),Skills!$B$15&amp;", ","")&amp;IF(AND(BI119=1,Skills!$M$20=1),Skills!$B$16&amp;", ",""))="","",LEFT(IF(AND(AX119=1,Skills!$B$20=1),Skills!$B$5&amp;", ","")&amp;IF(AND(AY119=1,Skills!$C$20=1),Skills!$B$6&amp;", ","")&amp;IF(AND(AZ119=1,Skills!$D$20=1),Skills!$B$7&amp;", ","")&amp;IF(AND(BA119=1,Skills!$E$20=1),Skills!$B$8&amp;", ","")&amp;IF(AND(BB119=1,Skills!$F$20=1),Skills!$B$9&amp;", ","")&amp;IF(AND(BC119=1,Skills!$G$20=1),Skills!$B$10&amp;", ","")&amp;IF(AND(BD119=1,Skills!$H$20=1),Skills!$B$11&amp;", ","")&amp;IF(AND(BE119=1,Skills!$I$20=1),Skills!$B$12&amp;", ","")&amp;IF(AND(BF119=1,Skills!$J$20=1),Skills!$B$13&amp;", ","")&amp;IF(AND(BG119=1,Skills!$K$20=1),Skills!$B$14&amp;", ","")&amp;IF(AND(BH119=1,Skills!$L$20=1),Skills!$B$15&amp;", ","")&amp;IF(AND(BI119=1,Skills!$M$20=1),Skills!$B$16&amp;", ",""),LEN(IF(AND(AX119=1,Skills!$B$20=1),Skills!$B$5&amp;", ","")&amp;IF(AND(AY119=1,Skills!$C$20=1),Skills!$B$6&amp;", ","")&amp;IF(AND(AZ119=1,Skills!$D$20=1),Skills!$B$7&amp;", ","")&amp;IF(AND(BA119=1,Skills!$E$20=1),Skills!$B$8&amp;", ","")&amp;IF(AND(BB119=1,Skills!$F$20=1),Skills!$B$9&amp;", ","")&amp;IF(AND(BC119=1,Skills!$G$20=1),Skills!$B$10&amp;", ","")&amp;IF(AND(BD119=1,Skills!$H$20=1),Skills!$B$11&amp;", ","")&amp;IF(AND(BE119=1,Skills!$I$20=1),Skills!$B$12&amp;", ","")&amp;IF(AND(BF119=1,Skills!$J$20=1),Skills!$B$13&amp;", ","")&amp;IF(AND(BG119=1,Skills!$K$20=1),Skills!$B$14&amp;", ","")&amp;IF(AND(BH119=1,Skills!$L$20=1),Skills!$B$15&amp;", ","")&amp;IF(AND(BI119=1,Skills!$M$20=1),Skills!$B$16&amp;", ",""))-2)))</f>
        <v/>
      </c>
    </row>
    <row r="120">
      <c r="AD120" s="20" t="n"/>
      <c r="AE120" s="20" t="n"/>
      <c r="AF120" s="20" t="n"/>
      <c r="AG120" s="20" t="n"/>
      <c r="AH120" s="20" t="n"/>
      <c r="AI120" s="20" t="n"/>
      <c r="AJ120" s="20" t="n"/>
      <c r="AK120" s="20" t="n"/>
      <c r="AL120" s="20" t="n"/>
      <c r="AM120" s="20" t="n"/>
      <c r="AN120" s="20" t="n"/>
      <c r="AO120" s="20" t="n"/>
      <c r="AP120" s="20" t="n"/>
      <c r="AR120" s="31">
        <f>IF(IFERROR(TRIM(INDEX($A120:$AB120,MATCH(Lists!$B$5,$A$1:$AB$1,0))&amp;""),"")&lt;&gt;"",IFERROR(TRIM(INDEX($A120:$AB120,MATCH(Lists!$B$5,$A$1:$AB$1,0))&amp;""),""),IFERROR(TRIM(INDEX($A120:$AB120,MATCH(Lists!$B$3,$A$1:$AB$1,0))&amp;""),""))</f>
        <v/>
      </c>
      <c r="AS120" s="31">
        <f>IF(AR120="","",IF(IFERROR(TRIM(INDEX($A120:$AB120,MATCH(Lists!$B$5,$A$1:$AB$1,0))&amp;""),"")&lt;&gt;"","Nominated","Applied"))</f>
        <v/>
      </c>
      <c r="AT120" s="31">
        <f>IF(AR120="","",IF(IFERROR(TRIM(INDEX($A120:$AB120,MATCH(Lists!$B$5,$A$1:$AB$1,0))&amp;""),"")&lt;&gt;"",IFERROR(TRIM(INDEX($A120:$AB120,MATCH(Lists!$B$6,$A$1:$AB$1,0))&amp;""),""),IFERROR(TRIM(INDEX($A120:$AB120,MATCH(Lists!$B$4,$A$1:$AB$1,0))&amp;""),"")))</f>
        <v/>
      </c>
      <c r="AU120" s="31">
        <f>IF(AR120="","",IFERROR(TRIM(INDEX($A120:$AB120,MATCH(Lists!$B$7,$A$1:$AB$1,0))&amp;""),""))</f>
        <v/>
      </c>
      <c r="AV120" s="31">
        <f>IF(AR120="","",IFERROR(TRIM(INDEX($A120:$AB120,MATCH(Lists!$B$9,$A$1:$AB$1,0))&amp;""),""))</f>
        <v/>
      </c>
      <c r="AW120" s="31">
        <f>IF(AR120="","",IFERROR(TRIM(INDEX($A120:$AB120,MATCH(Lists!$B$8,$A$1:$AB$1,0))&amp;""),""))</f>
        <v/>
      </c>
      <c r="AX120" s="23">
        <f>IF(AR120="","",IF(OR(TRIM(AE120&amp;"")&lt;&gt;"",AND(Skills!$B$5&lt;&gt;"",ISNUMBER(SEARCH(Skills!$B$5,AU120)))),1,0))</f>
        <v/>
      </c>
      <c r="AY120" s="23">
        <f>IF(AR120="","",IF(OR(TRIM(AF120&amp;"")&lt;&gt;"",AND(Skills!$B$6&lt;&gt;"",ISNUMBER(SEARCH(Skills!$B$6,AU120)))),1,0))</f>
        <v/>
      </c>
      <c r="AZ120" s="23">
        <f>IF(AR120="","",IF(OR(TRIM(AG120&amp;"")&lt;&gt;"",AND(Skills!$B$7&lt;&gt;"",ISNUMBER(SEARCH(Skills!$B$7,AU120)))),1,0))</f>
        <v/>
      </c>
      <c r="BA120" s="23">
        <f>IF(AR120="","",IF(OR(TRIM(AH120&amp;"")&lt;&gt;"",AND(Skills!$B$8&lt;&gt;"",ISNUMBER(SEARCH(Skills!$B$8,AU120)))),1,0))</f>
        <v/>
      </c>
      <c r="BB120" s="23">
        <f>IF(AR120="","",IF(OR(TRIM(AI120&amp;"")&lt;&gt;"",AND(Skills!$B$9&lt;&gt;"",ISNUMBER(SEARCH(Skills!$B$9,AU120)))),1,0))</f>
        <v/>
      </c>
      <c r="BC120" s="23">
        <f>IF(AR120="","",IF(OR(TRIM(AJ120&amp;"")&lt;&gt;"",AND(Skills!$B$10&lt;&gt;"",ISNUMBER(SEARCH(Skills!$B$10,AU120)))),1,0))</f>
        <v/>
      </c>
      <c r="BD120" s="23">
        <f>IF(AR120="","",IF(OR(TRIM(AK120&amp;"")&lt;&gt;"",AND(Skills!$B$11&lt;&gt;"",ISNUMBER(SEARCH(Skills!$B$11,AU120)))),1,0))</f>
        <v/>
      </c>
      <c r="BE120" s="23">
        <f>IF(AR120="","",IF(OR(TRIM(AL120&amp;"")&lt;&gt;"",AND(Skills!$B$12&lt;&gt;"",ISNUMBER(SEARCH(Skills!$B$12,AU120)))),1,0))</f>
        <v/>
      </c>
      <c r="BF120" s="23">
        <f>IF(AR120="","",IF(OR(TRIM(AM120&amp;"")&lt;&gt;"",AND(Skills!$B$13&lt;&gt;"",ISNUMBER(SEARCH(Skills!$B$13,AU120)))),1,0))</f>
        <v/>
      </c>
      <c r="BG120" s="23">
        <f>IF(AR120="","",IF(OR(TRIM(AN120&amp;"")&lt;&gt;"",AND(Skills!$B$14&lt;&gt;"",ISNUMBER(SEARCH(Skills!$B$14,AU120)))),1,0))</f>
        <v/>
      </c>
      <c r="BH120" s="23">
        <f>IF(AR120="","",IF(OR(TRIM(AO120&amp;"")&lt;&gt;"",AND(Skills!$B$15&lt;&gt;"",ISNUMBER(SEARCH(Skills!$B$15,AU120)))),1,0))</f>
        <v/>
      </c>
      <c r="BI120" s="23">
        <f>IF(AR120="","",IF(OR(TRIM(AP120&amp;"")&lt;&gt;"",AND(Skills!$B$16&lt;&gt;"",ISNUMBER(SEARCH(Skills!$B$16,AU120)))),1,0))</f>
        <v/>
      </c>
      <c r="BJ120" s="23">
        <f>IF(AR120="","",SUMPRODUCT($AX120:$BI120,Skills!$B$20:$M$20))</f>
        <v/>
      </c>
      <c r="BK120" s="23">
        <f>IF(AR120="","",BJ120*100000+(100000-ROW()))</f>
        <v/>
      </c>
      <c r="BL120" s="31">
        <f>IF(AR120="","",IF((IF(AND(AX120=1,Skills!$B$20=1),Skills!$B$5&amp;", ","")&amp;IF(AND(AY120=1,Skills!$C$20=1),Skills!$B$6&amp;", ","")&amp;IF(AND(AZ120=1,Skills!$D$20=1),Skills!$B$7&amp;", ","")&amp;IF(AND(BA120=1,Skills!$E$20=1),Skills!$B$8&amp;", ","")&amp;IF(AND(BB120=1,Skills!$F$20=1),Skills!$B$9&amp;", ","")&amp;IF(AND(BC120=1,Skills!$G$20=1),Skills!$B$10&amp;", ","")&amp;IF(AND(BD120=1,Skills!$H$20=1),Skills!$B$11&amp;", ","")&amp;IF(AND(BE120=1,Skills!$I$20=1),Skills!$B$12&amp;", ","")&amp;IF(AND(BF120=1,Skills!$J$20=1),Skills!$B$13&amp;", ","")&amp;IF(AND(BG120=1,Skills!$K$20=1),Skills!$B$14&amp;", ","")&amp;IF(AND(BH120=1,Skills!$L$20=1),Skills!$B$15&amp;", ","")&amp;IF(AND(BI120=1,Skills!$M$20=1),Skills!$B$16&amp;", ",""))="","",LEFT(IF(AND(AX120=1,Skills!$B$20=1),Skills!$B$5&amp;", ","")&amp;IF(AND(AY120=1,Skills!$C$20=1),Skills!$B$6&amp;", ","")&amp;IF(AND(AZ120=1,Skills!$D$20=1),Skills!$B$7&amp;", ","")&amp;IF(AND(BA120=1,Skills!$E$20=1),Skills!$B$8&amp;", ","")&amp;IF(AND(BB120=1,Skills!$F$20=1),Skills!$B$9&amp;", ","")&amp;IF(AND(BC120=1,Skills!$G$20=1),Skills!$B$10&amp;", ","")&amp;IF(AND(BD120=1,Skills!$H$20=1),Skills!$B$11&amp;", ","")&amp;IF(AND(BE120=1,Skills!$I$20=1),Skills!$B$12&amp;", ","")&amp;IF(AND(BF120=1,Skills!$J$20=1),Skills!$B$13&amp;", ","")&amp;IF(AND(BG120=1,Skills!$K$20=1),Skills!$B$14&amp;", ","")&amp;IF(AND(BH120=1,Skills!$L$20=1),Skills!$B$15&amp;", ","")&amp;IF(AND(BI120=1,Skills!$M$20=1),Skills!$B$16&amp;", ",""),LEN(IF(AND(AX120=1,Skills!$B$20=1),Skills!$B$5&amp;", ","")&amp;IF(AND(AY120=1,Skills!$C$20=1),Skills!$B$6&amp;", ","")&amp;IF(AND(AZ120=1,Skills!$D$20=1),Skills!$B$7&amp;", ","")&amp;IF(AND(BA120=1,Skills!$E$20=1),Skills!$B$8&amp;", ","")&amp;IF(AND(BB120=1,Skills!$F$20=1),Skills!$B$9&amp;", ","")&amp;IF(AND(BC120=1,Skills!$G$20=1),Skills!$B$10&amp;", ","")&amp;IF(AND(BD120=1,Skills!$H$20=1),Skills!$B$11&amp;", ","")&amp;IF(AND(BE120=1,Skills!$I$20=1),Skills!$B$12&amp;", ","")&amp;IF(AND(BF120=1,Skills!$J$20=1),Skills!$B$13&amp;", ","")&amp;IF(AND(BG120=1,Skills!$K$20=1),Skills!$B$14&amp;", ","")&amp;IF(AND(BH120=1,Skills!$L$20=1),Skills!$B$15&amp;", ","")&amp;IF(AND(BI120=1,Skills!$M$20=1),Skills!$B$16&amp;", ",""))-2)))</f>
        <v/>
      </c>
    </row>
    <row r="121">
      <c r="AD121" s="20" t="n"/>
      <c r="AE121" s="20" t="n"/>
      <c r="AF121" s="20" t="n"/>
      <c r="AG121" s="20" t="n"/>
      <c r="AH121" s="20" t="n"/>
      <c r="AI121" s="20" t="n"/>
      <c r="AJ121" s="20" t="n"/>
      <c r="AK121" s="20" t="n"/>
      <c r="AL121" s="20" t="n"/>
      <c r="AM121" s="20" t="n"/>
      <c r="AN121" s="20" t="n"/>
      <c r="AO121" s="20" t="n"/>
      <c r="AP121" s="20" t="n"/>
      <c r="AR121" s="31">
        <f>IF(IFERROR(TRIM(INDEX($A121:$AB121,MATCH(Lists!$B$5,$A$1:$AB$1,0))&amp;""),"")&lt;&gt;"",IFERROR(TRIM(INDEX($A121:$AB121,MATCH(Lists!$B$5,$A$1:$AB$1,0))&amp;""),""),IFERROR(TRIM(INDEX($A121:$AB121,MATCH(Lists!$B$3,$A$1:$AB$1,0))&amp;""),""))</f>
        <v/>
      </c>
      <c r="AS121" s="31">
        <f>IF(AR121="","",IF(IFERROR(TRIM(INDEX($A121:$AB121,MATCH(Lists!$B$5,$A$1:$AB$1,0))&amp;""),"")&lt;&gt;"","Nominated","Applied"))</f>
        <v/>
      </c>
      <c r="AT121" s="31">
        <f>IF(AR121="","",IF(IFERROR(TRIM(INDEX($A121:$AB121,MATCH(Lists!$B$5,$A$1:$AB$1,0))&amp;""),"")&lt;&gt;"",IFERROR(TRIM(INDEX($A121:$AB121,MATCH(Lists!$B$6,$A$1:$AB$1,0))&amp;""),""),IFERROR(TRIM(INDEX($A121:$AB121,MATCH(Lists!$B$4,$A$1:$AB$1,0))&amp;""),"")))</f>
        <v/>
      </c>
      <c r="AU121" s="31">
        <f>IF(AR121="","",IFERROR(TRIM(INDEX($A121:$AB121,MATCH(Lists!$B$7,$A$1:$AB$1,0))&amp;""),""))</f>
        <v/>
      </c>
      <c r="AV121" s="31">
        <f>IF(AR121="","",IFERROR(TRIM(INDEX($A121:$AB121,MATCH(Lists!$B$9,$A$1:$AB$1,0))&amp;""),""))</f>
        <v/>
      </c>
      <c r="AW121" s="31">
        <f>IF(AR121="","",IFERROR(TRIM(INDEX($A121:$AB121,MATCH(Lists!$B$8,$A$1:$AB$1,0))&amp;""),""))</f>
        <v/>
      </c>
      <c r="AX121" s="23">
        <f>IF(AR121="","",IF(OR(TRIM(AE121&amp;"")&lt;&gt;"",AND(Skills!$B$5&lt;&gt;"",ISNUMBER(SEARCH(Skills!$B$5,AU121)))),1,0))</f>
        <v/>
      </c>
      <c r="AY121" s="23">
        <f>IF(AR121="","",IF(OR(TRIM(AF121&amp;"")&lt;&gt;"",AND(Skills!$B$6&lt;&gt;"",ISNUMBER(SEARCH(Skills!$B$6,AU121)))),1,0))</f>
        <v/>
      </c>
      <c r="AZ121" s="23">
        <f>IF(AR121="","",IF(OR(TRIM(AG121&amp;"")&lt;&gt;"",AND(Skills!$B$7&lt;&gt;"",ISNUMBER(SEARCH(Skills!$B$7,AU121)))),1,0))</f>
        <v/>
      </c>
      <c r="BA121" s="23">
        <f>IF(AR121="","",IF(OR(TRIM(AH121&amp;"")&lt;&gt;"",AND(Skills!$B$8&lt;&gt;"",ISNUMBER(SEARCH(Skills!$B$8,AU121)))),1,0))</f>
        <v/>
      </c>
      <c r="BB121" s="23">
        <f>IF(AR121="","",IF(OR(TRIM(AI121&amp;"")&lt;&gt;"",AND(Skills!$B$9&lt;&gt;"",ISNUMBER(SEARCH(Skills!$B$9,AU121)))),1,0))</f>
        <v/>
      </c>
      <c r="BC121" s="23">
        <f>IF(AR121="","",IF(OR(TRIM(AJ121&amp;"")&lt;&gt;"",AND(Skills!$B$10&lt;&gt;"",ISNUMBER(SEARCH(Skills!$B$10,AU121)))),1,0))</f>
        <v/>
      </c>
      <c r="BD121" s="23">
        <f>IF(AR121="","",IF(OR(TRIM(AK121&amp;"")&lt;&gt;"",AND(Skills!$B$11&lt;&gt;"",ISNUMBER(SEARCH(Skills!$B$11,AU121)))),1,0))</f>
        <v/>
      </c>
      <c r="BE121" s="23">
        <f>IF(AR121="","",IF(OR(TRIM(AL121&amp;"")&lt;&gt;"",AND(Skills!$B$12&lt;&gt;"",ISNUMBER(SEARCH(Skills!$B$12,AU121)))),1,0))</f>
        <v/>
      </c>
      <c r="BF121" s="23">
        <f>IF(AR121="","",IF(OR(TRIM(AM121&amp;"")&lt;&gt;"",AND(Skills!$B$13&lt;&gt;"",ISNUMBER(SEARCH(Skills!$B$13,AU121)))),1,0))</f>
        <v/>
      </c>
      <c r="BG121" s="23">
        <f>IF(AR121="","",IF(OR(TRIM(AN121&amp;"")&lt;&gt;"",AND(Skills!$B$14&lt;&gt;"",ISNUMBER(SEARCH(Skills!$B$14,AU121)))),1,0))</f>
        <v/>
      </c>
      <c r="BH121" s="23">
        <f>IF(AR121="","",IF(OR(TRIM(AO121&amp;"")&lt;&gt;"",AND(Skills!$B$15&lt;&gt;"",ISNUMBER(SEARCH(Skills!$B$15,AU121)))),1,0))</f>
        <v/>
      </c>
      <c r="BI121" s="23">
        <f>IF(AR121="","",IF(OR(TRIM(AP121&amp;"")&lt;&gt;"",AND(Skills!$B$16&lt;&gt;"",ISNUMBER(SEARCH(Skills!$B$16,AU121)))),1,0))</f>
        <v/>
      </c>
      <c r="BJ121" s="23">
        <f>IF(AR121="","",SUMPRODUCT($AX121:$BI121,Skills!$B$20:$M$20))</f>
        <v/>
      </c>
      <c r="BK121" s="23">
        <f>IF(AR121="","",BJ121*100000+(100000-ROW()))</f>
        <v/>
      </c>
      <c r="BL121" s="31">
        <f>IF(AR121="","",IF((IF(AND(AX121=1,Skills!$B$20=1),Skills!$B$5&amp;", ","")&amp;IF(AND(AY121=1,Skills!$C$20=1),Skills!$B$6&amp;", ","")&amp;IF(AND(AZ121=1,Skills!$D$20=1),Skills!$B$7&amp;", ","")&amp;IF(AND(BA121=1,Skills!$E$20=1),Skills!$B$8&amp;", ","")&amp;IF(AND(BB121=1,Skills!$F$20=1),Skills!$B$9&amp;", ","")&amp;IF(AND(BC121=1,Skills!$G$20=1),Skills!$B$10&amp;", ","")&amp;IF(AND(BD121=1,Skills!$H$20=1),Skills!$B$11&amp;", ","")&amp;IF(AND(BE121=1,Skills!$I$20=1),Skills!$B$12&amp;", ","")&amp;IF(AND(BF121=1,Skills!$J$20=1),Skills!$B$13&amp;", ","")&amp;IF(AND(BG121=1,Skills!$K$20=1),Skills!$B$14&amp;", ","")&amp;IF(AND(BH121=1,Skills!$L$20=1),Skills!$B$15&amp;", ","")&amp;IF(AND(BI121=1,Skills!$M$20=1),Skills!$B$16&amp;", ",""))="","",LEFT(IF(AND(AX121=1,Skills!$B$20=1),Skills!$B$5&amp;", ","")&amp;IF(AND(AY121=1,Skills!$C$20=1),Skills!$B$6&amp;", ","")&amp;IF(AND(AZ121=1,Skills!$D$20=1),Skills!$B$7&amp;", ","")&amp;IF(AND(BA121=1,Skills!$E$20=1),Skills!$B$8&amp;", ","")&amp;IF(AND(BB121=1,Skills!$F$20=1),Skills!$B$9&amp;", ","")&amp;IF(AND(BC121=1,Skills!$G$20=1),Skills!$B$10&amp;", ","")&amp;IF(AND(BD121=1,Skills!$H$20=1),Skills!$B$11&amp;", ","")&amp;IF(AND(BE121=1,Skills!$I$20=1),Skills!$B$12&amp;", ","")&amp;IF(AND(BF121=1,Skills!$J$20=1),Skills!$B$13&amp;", ","")&amp;IF(AND(BG121=1,Skills!$K$20=1),Skills!$B$14&amp;", ","")&amp;IF(AND(BH121=1,Skills!$L$20=1),Skills!$B$15&amp;", ","")&amp;IF(AND(BI121=1,Skills!$M$20=1),Skills!$B$16&amp;", ",""),LEN(IF(AND(AX121=1,Skills!$B$20=1),Skills!$B$5&amp;", ","")&amp;IF(AND(AY121=1,Skills!$C$20=1),Skills!$B$6&amp;", ","")&amp;IF(AND(AZ121=1,Skills!$D$20=1),Skills!$B$7&amp;", ","")&amp;IF(AND(BA121=1,Skills!$E$20=1),Skills!$B$8&amp;", ","")&amp;IF(AND(BB121=1,Skills!$F$20=1),Skills!$B$9&amp;", ","")&amp;IF(AND(BC121=1,Skills!$G$20=1),Skills!$B$10&amp;", ","")&amp;IF(AND(BD121=1,Skills!$H$20=1),Skills!$B$11&amp;", ","")&amp;IF(AND(BE121=1,Skills!$I$20=1),Skills!$B$12&amp;", ","")&amp;IF(AND(BF121=1,Skills!$J$20=1),Skills!$B$13&amp;", ","")&amp;IF(AND(BG121=1,Skills!$K$20=1),Skills!$B$14&amp;", ","")&amp;IF(AND(BH121=1,Skills!$L$20=1),Skills!$B$15&amp;", ","")&amp;IF(AND(BI121=1,Skills!$M$20=1),Skills!$B$16&amp;", ",""))-2)))</f>
        <v/>
      </c>
    </row>
    <row r="122">
      <c r="AD122" s="20" t="n"/>
      <c r="AE122" s="20" t="n"/>
      <c r="AF122" s="20" t="n"/>
      <c r="AG122" s="20" t="n"/>
      <c r="AH122" s="20" t="n"/>
      <c r="AI122" s="20" t="n"/>
      <c r="AJ122" s="20" t="n"/>
      <c r="AK122" s="20" t="n"/>
      <c r="AL122" s="20" t="n"/>
      <c r="AM122" s="20" t="n"/>
      <c r="AN122" s="20" t="n"/>
      <c r="AO122" s="20" t="n"/>
      <c r="AP122" s="20" t="n"/>
      <c r="AR122" s="31">
        <f>IF(IFERROR(TRIM(INDEX($A122:$AB122,MATCH(Lists!$B$5,$A$1:$AB$1,0))&amp;""),"")&lt;&gt;"",IFERROR(TRIM(INDEX($A122:$AB122,MATCH(Lists!$B$5,$A$1:$AB$1,0))&amp;""),""),IFERROR(TRIM(INDEX($A122:$AB122,MATCH(Lists!$B$3,$A$1:$AB$1,0))&amp;""),""))</f>
        <v/>
      </c>
      <c r="AS122" s="31">
        <f>IF(AR122="","",IF(IFERROR(TRIM(INDEX($A122:$AB122,MATCH(Lists!$B$5,$A$1:$AB$1,0))&amp;""),"")&lt;&gt;"","Nominated","Applied"))</f>
        <v/>
      </c>
      <c r="AT122" s="31">
        <f>IF(AR122="","",IF(IFERROR(TRIM(INDEX($A122:$AB122,MATCH(Lists!$B$5,$A$1:$AB$1,0))&amp;""),"")&lt;&gt;"",IFERROR(TRIM(INDEX($A122:$AB122,MATCH(Lists!$B$6,$A$1:$AB$1,0))&amp;""),""),IFERROR(TRIM(INDEX($A122:$AB122,MATCH(Lists!$B$4,$A$1:$AB$1,0))&amp;""),"")))</f>
        <v/>
      </c>
      <c r="AU122" s="31">
        <f>IF(AR122="","",IFERROR(TRIM(INDEX($A122:$AB122,MATCH(Lists!$B$7,$A$1:$AB$1,0))&amp;""),""))</f>
        <v/>
      </c>
      <c r="AV122" s="31">
        <f>IF(AR122="","",IFERROR(TRIM(INDEX($A122:$AB122,MATCH(Lists!$B$9,$A$1:$AB$1,0))&amp;""),""))</f>
        <v/>
      </c>
      <c r="AW122" s="31">
        <f>IF(AR122="","",IFERROR(TRIM(INDEX($A122:$AB122,MATCH(Lists!$B$8,$A$1:$AB$1,0))&amp;""),""))</f>
        <v/>
      </c>
      <c r="AX122" s="23">
        <f>IF(AR122="","",IF(OR(TRIM(AE122&amp;"")&lt;&gt;"",AND(Skills!$B$5&lt;&gt;"",ISNUMBER(SEARCH(Skills!$B$5,AU122)))),1,0))</f>
        <v/>
      </c>
      <c r="AY122" s="23">
        <f>IF(AR122="","",IF(OR(TRIM(AF122&amp;"")&lt;&gt;"",AND(Skills!$B$6&lt;&gt;"",ISNUMBER(SEARCH(Skills!$B$6,AU122)))),1,0))</f>
        <v/>
      </c>
      <c r="AZ122" s="23">
        <f>IF(AR122="","",IF(OR(TRIM(AG122&amp;"")&lt;&gt;"",AND(Skills!$B$7&lt;&gt;"",ISNUMBER(SEARCH(Skills!$B$7,AU122)))),1,0))</f>
        <v/>
      </c>
      <c r="BA122" s="23">
        <f>IF(AR122="","",IF(OR(TRIM(AH122&amp;"")&lt;&gt;"",AND(Skills!$B$8&lt;&gt;"",ISNUMBER(SEARCH(Skills!$B$8,AU122)))),1,0))</f>
        <v/>
      </c>
      <c r="BB122" s="23">
        <f>IF(AR122="","",IF(OR(TRIM(AI122&amp;"")&lt;&gt;"",AND(Skills!$B$9&lt;&gt;"",ISNUMBER(SEARCH(Skills!$B$9,AU122)))),1,0))</f>
        <v/>
      </c>
      <c r="BC122" s="23">
        <f>IF(AR122="","",IF(OR(TRIM(AJ122&amp;"")&lt;&gt;"",AND(Skills!$B$10&lt;&gt;"",ISNUMBER(SEARCH(Skills!$B$10,AU122)))),1,0))</f>
        <v/>
      </c>
      <c r="BD122" s="23">
        <f>IF(AR122="","",IF(OR(TRIM(AK122&amp;"")&lt;&gt;"",AND(Skills!$B$11&lt;&gt;"",ISNUMBER(SEARCH(Skills!$B$11,AU122)))),1,0))</f>
        <v/>
      </c>
      <c r="BE122" s="23">
        <f>IF(AR122="","",IF(OR(TRIM(AL122&amp;"")&lt;&gt;"",AND(Skills!$B$12&lt;&gt;"",ISNUMBER(SEARCH(Skills!$B$12,AU122)))),1,0))</f>
        <v/>
      </c>
      <c r="BF122" s="23">
        <f>IF(AR122="","",IF(OR(TRIM(AM122&amp;"")&lt;&gt;"",AND(Skills!$B$13&lt;&gt;"",ISNUMBER(SEARCH(Skills!$B$13,AU122)))),1,0))</f>
        <v/>
      </c>
      <c r="BG122" s="23">
        <f>IF(AR122="","",IF(OR(TRIM(AN122&amp;"")&lt;&gt;"",AND(Skills!$B$14&lt;&gt;"",ISNUMBER(SEARCH(Skills!$B$14,AU122)))),1,0))</f>
        <v/>
      </c>
      <c r="BH122" s="23">
        <f>IF(AR122="","",IF(OR(TRIM(AO122&amp;"")&lt;&gt;"",AND(Skills!$B$15&lt;&gt;"",ISNUMBER(SEARCH(Skills!$B$15,AU122)))),1,0))</f>
        <v/>
      </c>
      <c r="BI122" s="23">
        <f>IF(AR122="","",IF(OR(TRIM(AP122&amp;"")&lt;&gt;"",AND(Skills!$B$16&lt;&gt;"",ISNUMBER(SEARCH(Skills!$B$16,AU122)))),1,0))</f>
        <v/>
      </c>
      <c r="BJ122" s="23">
        <f>IF(AR122="","",SUMPRODUCT($AX122:$BI122,Skills!$B$20:$M$20))</f>
        <v/>
      </c>
      <c r="BK122" s="23">
        <f>IF(AR122="","",BJ122*100000+(100000-ROW()))</f>
        <v/>
      </c>
      <c r="BL122" s="31">
        <f>IF(AR122="","",IF((IF(AND(AX122=1,Skills!$B$20=1),Skills!$B$5&amp;", ","")&amp;IF(AND(AY122=1,Skills!$C$20=1),Skills!$B$6&amp;", ","")&amp;IF(AND(AZ122=1,Skills!$D$20=1),Skills!$B$7&amp;", ","")&amp;IF(AND(BA122=1,Skills!$E$20=1),Skills!$B$8&amp;", ","")&amp;IF(AND(BB122=1,Skills!$F$20=1),Skills!$B$9&amp;", ","")&amp;IF(AND(BC122=1,Skills!$G$20=1),Skills!$B$10&amp;", ","")&amp;IF(AND(BD122=1,Skills!$H$20=1),Skills!$B$11&amp;", ","")&amp;IF(AND(BE122=1,Skills!$I$20=1),Skills!$B$12&amp;", ","")&amp;IF(AND(BF122=1,Skills!$J$20=1),Skills!$B$13&amp;", ","")&amp;IF(AND(BG122=1,Skills!$K$20=1),Skills!$B$14&amp;", ","")&amp;IF(AND(BH122=1,Skills!$L$20=1),Skills!$B$15&amp;", ","")&amp;IF(AND(BI122=1,Skills!$M$20=1),Skills!$B$16&amp;", ",""))="","",LEFT(IF(AND(AX122=1,Skills!$B$20=1),Skills!$B$5&amp;", ","")&amp;IF(AND(AY122=1,Skills!$C$20=1),Skills!$B$6&amp;", ","")&amp;IF(AND(AZ122=1,Skills!$D$20=1),Skills!$B$7&amp;", ","")&amp;IF(AND(BA122=1,Skills!$E$20=1),Skills!$B$8&amp;", ","")&amp;IF(AND(BB122=1,Skills!$F$20=1),Skills!$B$9&amp;", ","")&amp;IF(AND(BC122=1,Skills!$G$20=1),Skills!$B$10&amp;", ","")&amp;IF(AND(BD122=1,Skills!$H$20=1),Skills!$B$11&amp;", ","")&amp;IF(AND(BE122=1,Skills!$I$20=1),Skills!$B$12&amp;", ","")&amp;IF(AND(BF122=1,Skills!$J$20=1),Skills!$B$13&amp;", ","")&amp;IF(AND(BG122=1,Skills!$K$20=1),Skills!$B$14&amp;", ","")&amp;IF(AND(BH122=1,Skills!$L$20=1),Skills!$B$15&amp;", ","")&amp;IF(AND(BI122=1,Skills!$M$20=1),Skills!$B$16&amp;", ",""),LEN(IF(AND(AX122=1,Skills!$B$20=1),Skills!$B$5&amp;", ","")&amp;IF(AND(AY122=1,Skills!$C$20=1),Skills!$B$6&amp;", ","")&amp;IF(AND(AZ122=1,Skills!$D$20=1),Skills!$B$7&amp;", ","")&amp;IF(AND(BA122=1,Skills!$E$20=1),Skills!$B$8&amp;", ","")&amp;IF(AND(BB122=1,Skills!$F$20=1),Skills!$B$9&amp;", ","")&amp;IF(AND(BC122=1,Skills!$G$20=1),Skills!$B$10&amp;", ","")&amp;IF(AND(BD122=1,Skills!$H$20=1),Skills!$B$11&amp;", ","")&amp;IF(AND(BE122=1,Skills!$I$20=1),Skills!$B$12&amp;", ","")&amp;IF(AND(BF122=1,Skills!$J$20=1),Skills!$B$13&amp;", ","")&amp;IF(AND(BG122=1,Skills!$K$20=1),Skills!$B$14&amp;", ","")&amp;IF(AND(BH122=1,Skills!$L$20=1),Skills!$B$15&amp;", ","")&amp;IF(AND(BI122=1,Skills!$M$20=1),Skills!$B$16&amp;", ",""))-2)))</f>
        <v/>
      </c>
    </row>
    <row r="123">
      <c r="AD123" s="20" t="n"/>
      <c r="AE123" s="20" t="n"/>
      <c r="AF123" s="20" t="n"/>
      <c r="AG123" s="20" t="n"/>
      <c r="AH123" s="20" t="n"/>
      <c r="AI123" s="20" t="n"/>
      <c r="AJ123" s="20" t="n"/>
      <c r="AK123" s="20" t="n"/>
      <c r="AL123" s="20" t="n"/>
      <c r="AM123" s="20" t="n"/>
      <c r="AN123" s="20" t="n"/>
      <c r="AO123" s="20" t="n"/>
      <c r="AP123" s="20" t="n"/>
      <c r="AR123" s="31">
        <f>IF(IFERROR(TRIM(INDEX($A123:$AB123,MATCH(Lists!$B$5,$A$1:$AB$1,0))&amp;""),"")&lt;&gt;"",IFERROR(TRIM(INDEX($A123:$AB123,MATCH(Lists!$B$5,$A$1:$AB$1,0))&amp;""),""),IFERROR(TRIM(INDEX($A123:$AB123,MATCH(Lists!$B$3,$A$1:$AB$1,0))&amp;""),""))</f>
        <v/>
      </c>
      <c r="AS123" s="31">
        <f>IF(AR123="","",IF(IFERROR(TRIM(INDEX($A123:$AB123,MATCH(Lists!$B$5,$A$1:$AB$1,0))&amp;""),"")&lt;&gt;"","Nominated","Applied"))</f>
        <v/>
      </c>
      <c r="AT123" s="31">
        <f>IF(AR123="","",IF(IFERROR(TRIM(INDEX($A123:$AB123,MATCH(Lists!$B$5,$A$1:$AB$1,0))&amp;""),"")&lt;&gt;"",IFERROR(TRIM(INDEX($A123:$AB123,MATCH(Lists!$B$6,$A$1:$AB$1,0))&amp;""),""),IFERROR(TRIM(INDEX($A123:$AB123,MATCH(Lists!$B$4,$A$1:$AB$1,0))&amp;""),"")))</f>
        <v/>
      </c>
      <c r="AU123" s="31">
        <f>IF(AR123="","",IFERROR(TRIM(INDEX($A123:$AB123,MATCH(Lists!$B$7,$A$1:$AB$1,0))&amp;""),""))</f>
        <v/>
      </c>
      <c r="AV123" s="31">
        <f>IF(AR123="","",IFERROR(TRIM(INDEX($A123:$AB123,MATCH(Lists!$B$9,$A$1:$AB$1,0))&amp;""),""))</f>
        <v/>
      </c>
      <c r="AW123" s="31">
        <f>IF(AR123="","",IFERROR(TRIM(INDEX($A123:$AB123,MATCH(Lists!$B$8,$A$1:$AB$1,0))&amp;""),""))</f>
        <v/>
      </c>
      <c r="AX123" s="23">
        <f>IF(AR123="","",IF(OR(TRIM(AE123&amp;"")&lt;&gt;"",AND(Skills!$B$5&lt;&gt;"",ISNUMBER(SEARCH(Skills!$B$5,AU123)))),1,0))</f>
        <v/>
      </c>
      <c r="AY123" s="23">
        <f>IF(AR123="","",IF(OR(TRIM(AF123&amp;"")&lt;&gt;"",AND(Skills!$B$6&lt;&gt;"",ISNUMBER(SEARCH(Skills!$B$6,AU123)))),1,0))</f>
        <v/>
      </c>
      <c r="AZ123" s="23">
        <f>IF(AR123="","",IF(OR(TRIM(AG123&amp;"")&lt;&gt;"",AND(Skills!$B$7&lt;&gt;"",ISNUMBER(SEARCH(Skills!$B$7,AU123)))),1,0))</f>
        <v/>
      </c>
      <c r="BA123" s="23">
        <f>IF(AR123="","",IF(OR(TRIM(AH123&amp;"")&lt;&gt;"",AND(Skills!$B$8&lt;&gt;"",ISNUMBER(SEARCH(Skills!$B$8,AU123)))),1,0))</f>
        <v/>
      </c>
      <c r="BB123" s="23">
        <f>IF(AR123="","",IF(OR(TRIM(AI123&amp;"")&lt;&gt;"",AND(Skills!$B$9&lt;&gt;"",ISNUMBER(SEARCH(Skills!$B$9,AU123)))),1,0))</f>
        <v/>
      </c>
      <c r="BC123" s="23">
        <f>IF(AR123="","",IF(OR(TRIM(AJ123&amp;"")&lt;&gt;"",AND(Skills!$B$10&lt;&gt;"",ISNUMBER(SEARCH(Skills!$B$10,AU123)))),1,0))</f>
        <v/>
      </c>
      <c r="BD123" s="23">
        <f>IF(AR123="","",IF(OR(TRIM(AK123&amp;"")&lt;&gt;"",AND(Skills!$B$11&lt;&gt;"",ISNUMBER(SEARCH(Skills!$B$11,AU123)))),1,0))</f>
        <v/>
      </c>
      <c r="BE123" s="23">
        <f>IF(AR123="","",IF(OR(TRIM(AL123&amp;"")&lt;&gt;"",AND(Skills!$B$12&lt;&gt;"",ISNUMBER(SEARCH(Skills!$B$12,AU123)))),1,0))</f>
        <v/>
      </c>
      <c r="BF123" s="23">
        <f>IF(AR123="","",IF(OR(TRIM(AM123&amp;"")&lt;&gt;"",AND(Skills!$B$13&lt;&gt;"",ISNUMBER(SEARCH(Skills!$B$13,AU123)))),1,0))</f>
        <v/>
      </c>
      <c r="BG123" s="23">
        <f>IF(AR123="","",IF(OR(TRIM(AN123&amp;"")&lt;&gt;"",AND(Skills!$B$14&lt;&gt;"",ISNUMBER(SEARCH(Skills!$B$14,AU123)))),1,0))</f>
        <v/>
      </c>
      <c r="BH123" s="23">
        <f>IF(AR123="","",IF(OR(TRIM(AO123&amp;"")&lt;&gt;"",AND(Skills!$B$15&lt;&gt;"",ISNUMBER(SEARCH(Skills!$B$15,AU123)))),1,0))</f>
        <v/>
      </c>
      <c r="BI123" s="23">
        <f>IF(AR123="","",IF(OR(TRIM(AP123&amp;"")&lt;&gt;"",AND(Skills!$B$16&lt;&gt;"",ISNUMBER(SEARCH(Skills!$B$16,AU123)))),1,0))</f>
        <v/>
      </c>
      <c r="BJ123" s="23">
        <f>IF(AR123="","",SUMPRODUCT($AX123:$BI123,Skills!$B$20:$M$20))</f>
        <v/>
      </c>
      <c r="BK123" s="23">
        <f>IF(AR123="","",BJ123*100000+(100000-ROW()))</f>
        <v/>
      </c>
      <c r="BL123" s="31">
        <f>IF(AR123="","",IF((IF(AND(AX123=1,Skills!$B$20=1),Skills!$B$5&amp;", ","")&amp;IF(AND(AY123=1,Skills!$C$20=1),Skills!$B$6&amp;", ","")&amp;IF(AND(AZ123=1,Skills!$D$20=1),Skills!$B$7&amp;", ","")&amp;IF(AND(BA123=1,Skills!$E$20=1),Skills!$B$8&amp;", ","")&amp;IF(AND(BB123=1,Skills!$F$20=1),Skills!$B$9&amp;", ","")&amp;IF(AND(BC123=1,Skills!$G$20=1),Skills!$B$10&amp;", ","")&amp;IF(AND(BD123=1,Skills!$H$20=1),Skills!$B$11&amp;", ","")&amp;IF(AND(BE123=1,Skills!$I$20=1),Skills!$B$12&amp;", ","")&amp;IF(AND(BF123=1,Skills!$J$20=1),Skills!$B$13&amp;", ","")&amp;IF(AND(BG123=1,Skills!$K$20=1),Skills!$B$14&amp;", ","")&amp;IF(AND(BH123=1,Skills!$L$20=1),Skills!$B$15&amp;", ","")&amp;IF(AND(BI123=1,Skills!$M$20=1),Skills!$B$16&amp;", ",""))="","",LEFT(IF(AND(AX123=1,Skills!$B$20=1),Skills!$B$5&amp;", ","")&amp;IF(AND(AY123=1,Skills!$C$20=1),Skills!$B$6&amp;", ","")&amp;IF(AND(AZ123=1,Skills!$D$20=1),Skills!$B$7&amp;", ","")&amp;IF(AND(BA123=1,Skills!$E$20=1),Skills!$B$8&amp;", ","")&amp;IF(AND(BB123=1,Skills!$F$20=1),Skills!$B$9&amp;", ","")&amp;IF(AND(BC123=1,Skills!$G$20=1),Skills!$B$10&amp;", ","")&amp;IF(AND(BD123=1,Skills!$H$20=1),Skills!$B$11&amp;", ","")&amp;IF(AND(BE123=1,Skills!$I$20=1),Skills!$B$12&amp;", ","")&amp;IF(AND(BF123=1,Skills!$J$20=1),Skills!$B$13&amp;", ","")&amp;IF(AND(BG123=1,Skills!$K$20=1),Skills!$B$14&amp;", ","")&amp;IF(AND(BH123=1,Skills!$L$20=1),Skills!$B$15&amp;", ","")&amp;IF(AND(BI123=1,Skills!$M$20=1),Skills!$B$16&amp;", ",""),LEN(IF(AND(AX123=1,Skills!$B$20=1),Skills!$B$5&amp;", ","")&amp;IF(AND(AY123=1,Skills!$C$20=1),Skills!$B$6&amp;", ","")&amp;IF(AND(AZ123=1,Skills!$D$20=1),Skills!$B$7&amp;", ","")&amp;IF(AND(BA123=1,Skills!$E$20=1),Skills!$B$8&amp;", ","")&amp;IF(AND(BB123=1,Skills!$F$20=1),Skills!$B$9&amp;", ","")&amp;IF(AND(BC123=1,Skills!$G$20=1),Skills!$B$10&amp;", ","")&amp;IF(AND(BD123=1,Skills!$H$20=1),Skills!$B$11&amp;", ","")&amp;IF(AND(BE123=1,Skills!$I$20=1),Skills!$B$12&amp;", ","")&amp;IF(AND(BF123=1,Skills!$J$20=1),Skills!$B$13&amp;", ","")&amp;IF(AND(BG123=1,Skills!$K$20=1),Skills!$B$14&amp;", ","")&amp;IF(AND(BH123=1,Skills!$L$20=1),Skills!$B$15&amp;", ","")&amp;IF(AND(BI123=1,Skills!$M$20=1),Skills!$B$16&amp;", ",""))-2)))</f>
        <v/>
      </c>
    </row>
    <row r="124">
      <c r="AD124" s="20" t="n"/>
      <c r="AE124" s="20" t="n"/>
      <c r="AF124" s="20" t="n"/>
      <c r="AG124" s="20" t="n"/>
      <c r="AH124" s="20" t="n"/>
      <c r="AI124" s="20" t="n"/>
      <c r="AJ124" s="20" t="n"/>
      <c r="AK124" s="20" t="n"/>
      <c r="AL124" s="20" t="n"/>
      <c r="AM124" s="20" t="n"/>
      <c r="AN124" s="20" t="n"/>
      <c r="AO124" s="20" t="n"/>
      <c r="AP124" s="20" t="n"/>
      <c r="AR124" s="31">
        <f>IF(IFERROR(TRIM(INDEX($A124:$AB124,MATCH(Lists!$B$5,$A$1:$AB$1,0))&amp;""),"")&lt;&gt;"",IFERROR(TRIM(INDEX($A124:$AB124,MATCH(Lists!$B$5,$A$1:$AB$1,0))&amp;""),""),IFERROR(TRIM(INDEX($A124:$AB124,MATCH(Lists!$B$3,$A$1:$AB$1,0))&amp;""),""))</f>
        <v/>
      </c>
      <c r="AS124" s="31">
        <f>IF(AR124="","",IF(IFERROR(TRIM(INDEX($A124:$AB124,MATCH(Lists!$B$5,$A$1:$AB$1,0))&amp;""),"")&lt;&gt;"","Nominated","Applied"))</f>
        <v/>
      </c>
      <c r="AT124" s="31">
        <f>IF(AR124="","",IF(IFERROR(TRIM(INDEX($A124:$AB124,MATCH(Lists!$B$5,$A$1:$AB$1,0))&amp;""),"")&lt;&gt;"",IFERROR(TRIM(INDEX($A124:$AB124,MATCH(Lists!$B$6,$A$1:$AB$1,0))&amp;""),""),IFERROR(TRIM(INDEX($A124:$AB124,MATCH(Lists!$B$4,$A$1:$AB$1,0))&amp;""),"")))</f>
        <v/>
      </c>
      <c r="AU124" s="31">
        <f>IF(AR124="","",IFERROR(TRIM(INDEX($A124:$AB124,MATCH(Lists!$B$7,$A$1:$AB$1,0))&amp;""),""))</f>
        <v/>
      </c>
      <c r="AV124" s="31">
        <f>IF(AR124="","",IFERROR(TRIM(INDEX($A124:$AB124,MATCH(Lists!$B$9,$A$1:$AB$1,0))&amp;""),""))</f>
        <v/>
      </c>
      <c r="AW124" s="31">
        <f>IF(AR124="","",IFERROR(TRIM(INDEX($A124:$AB124,MATCH(Lists!$B$8,$A$1:$AB$1,0))&amp;""),""))</f>
        <v/>
      </c>
      <c r="AX124" s="23">
        <f>IF(AR124="","",IF(OR(TRIM(AE124&amp;"")&lt;&gt;"",AND(Skills!$B$5&lt;&gt;"",ISNUMBER(SEARCH(Skills!$B$5,AU124)))),1,0))</f>
        <v/>
      </c>
      <c r="AY124" s="23">
        <f>IF(AR124="","",IF(OR(TRIM(AF124&amp;"")&lt;&gt;"",AND(Skills!$B$6&lt;&gt;"",ISNUMBER(SEARCH(Skills!$B$6,AU124)))),1,0))</f>
        <v/>
      </c>
      <c r="AZ124" s="23">
        <f>IF(AR124="","",IF(OR(TRIM(AG124&amp;"")&lt;&gt;"",AND(Skills!$B$7&lt;&gt;"",ISNUMBER(SEARCH(Skills!$B$7,AU124)))),1,0))</f>
        <v/>
      </c>
      <c r="BA124" s="23">
        <f>IF(AR124="","",IF(OR(TRIM(AH124&amp;"")&lt;&gt;"",AND(Skills!$B$8&lt;&gt;"",ISNUMBER(SEARCH(Skills!$B$8,AU124)))),1,0))</f>
        <v/>
      </c>
      <c r="BB124" s="23">
        <f>IF(AR124="","",IF(OR(TRIM(AI124&amp;"")&lt;&gt;"",AND(Skills!$B$9&lt;&gt;"",ISNUMBER(SEARCH(Skills!$B$9,AU124)))),1,0))</f>
        <v/>
      </c>
      <c r="BC124" s="23">
        <f>IF(AR124="","",IF(OR(TRIM(AJ124&amp;"")&lt;&gt;"",AND(Skills!$B$10&lt;&gt;"",ISNUMBER(SEARCH(Skills!$B$10,AU124)))),1,0))</f>
        <v/>
      </c>
      <c r="BD124" s="23">
        <f>IF(AR124="","",IF(OR(TRIM(AK124&amp;"")&lt;&gt;"",AND(Skills!$B$11&lt;&gt;"",ISNUMBER(SEARCH(Skills!$B$11,AU124)))),1,0))</f>
        <v/>
      </c>
      <c r="BE124" s="23">
        <f>IF(AR124="","",IF(OR(TRIM(AL124&amp;"")&lt;&gt;"",AND(Skills!$B$12&lt;&gt;"",ISNUMBER(SEARCH(Skills!$B$12,AU124)))),1,0))</f>
        <v/>
      </c>
      <c r="BF124" s="23">
        <f>IF(AR124="","",IF(OR(TRIM(AM124&amp;"")&lt;&gt;"",AND(Skills!$B$13&lt;&gt;"",ISNUMBER(SEARCH(Skills!$B$13,AU124)))),1,0))</f>
        <v/>
      </c>
      <c r="BG124" s="23">
        <f>IF(AR124="","",IF(OR(TRIM(AN124&amp;"")&lt;&gt;"",AND(Skills!$B$14&lt;&gt;"",ISNUMBER(SEARCH(Skills!$B$14,AU124)))),1,0))</f>
        <v/>
      </c>
      <c r="BH124" s="23">
        <f>IF(AR124="","",IF(OR(TRIM(AO124&amp;"")&lt;&gt;"",AND(Skills!$B$15&lt;&gt;"",ISNUMBER(SEARCH(Skills!$B$15,AU124)))),1,0))</f>
        <v/>
      </c>
      <c r="BI124" s="23">
        <f>IF(AR124="","",IF(OR(TRIM(AP124&amp;"")&lt;&gt;"",AND(Skills!$B$16&lt;&gt;"",ISNUMBER(SEARCH(Skills!$B$16,AU124)))),1,0))</f>
        <v/>
      </c>
      <c r="BJ124" s="23">
        <f>IF(AR124="","",SUMPRODUCT($AX124:$BI124,Skills!$B$20:$M$20))</f>
        <v/>
      </c>
      <c r="BK124" s="23">
        <f>IF(AR124="","",BJ124*100000+(100000-ROW()))</f>
        <v/>
      </c>
      <c r="BL124" s="31">
        <f>IF(AR124="","",IF((IF(AND(AX124=1,Skills!$B$20=1),Skills!$B$5&amp;", ","")&amp;IF(AND(AY124=1,Skills!$C$20=1),Skills!$B$6&amp;", ","")&amp;IF(AND(AZ124=1,Skills!$D$20=1),Skills!$B$7&amp;", ","")&amp;IF(AND(BA124=1,Skills!$E$20=1),Skills!$B$8&amp;", ","")&amp;IF(AND(BB124=1,Skills!$F$20=1),Skills!$B$9&amp;", ","")&amp;IF(AND(BC124=1,Skills!$G$20=1),Skills!$B$10&amp;", ","")&amp;IF(AND(BD124=1,Skills!$H$20=1),Skills!$B$11&amp;", ","")&amp;IF(AND(BE124=1,Skills!$I$20=1),Skills!$B$12&amp;", ","")&amp;IF(AND(BF124=1,Skills!$J$20=1),Skills!$B$13&amp;", ","")&amp;IF(AND(BG124=1,Skills!$K$20=1),Skills!$B$14&amp;", ","")&amp;IF(AND(BH124=1,Skills!$L$20=1),Skills!$B$15&amp;", ","")&amp;IF(AND(BI124=1,Skills!$M$20=1),Skills!$B$16&amp;", ",""))="","",LEFT(IF(AND(AX124=1,Skills!$B$20=1),Skills!$B$5&amp;", ","")&amp;IF(AND(AY124=1,Skills!$C$20=1),Skills!$B$6&amp;", ","")&amp;IF(AND(AZ124=1,Skills!$D$20=1),Skills!$B$7&amp;", ","")&amp;IF(AND(BA124=1,Skills!$E$20=1),Skills!$B$8&amp;", ","")&amp;IF(AND(BB124=1,Skills!$F$20=1),Skills!$B$9&amp;", ","")&amp;IF(AND(BC124=1,Skills!$G$20=1),Skills!$B$10&amp;", ","")&amp;IF(AND(BD124=1,Skills!$H$20=1),Skills!$B$11&amp;", ","")&amp;IF(AND(BE124=1,Skills!$I$20=1),Skills!$B$12&amp;", ","")&amp;IF(AND(BF124=1,Skills!$J$20=1),Skills!$B$13&amp;", ","")&amp;IF(AND(BG124=1,Skills!$K$20=1),Skills!$B$14&amp;", ","")&amp;IF(AND(BH124=1,Skills!$L$20=1),Skills!$B$15&amp;", ","")&amp;IF(AND(BI124=1,Skills!$M$20=1),Skills!$B$16&amp;", ",""),LEN(IF(AND(AX124=1,Skills!$B$20=1),Skills!$B$5&amp;", ","")&amp;IF(AND(AY124=1,Skills!$C$20=1),Skills!$B$6&amp;", ","")&amp;IF(AND(AZ124=1,Skills!$D$20=1),Skills!$B$7&amp;", ","")&amp;IF(AND(BA124=1,Skills!$E$20=1),Skills!$B$8&amp;", ","")&amp;IF(AND(BB124=1,Skills!$F$20=1),Skills!$B$9&amp;", ","")&amp;IF(AND(BC124=1,Skills!$G$20=1),Skills!$B$10&amp;", ","")&amp;IF(AND(BD124=1,Skills!$H$20=1),Skills!$B$11&amp;", ","")&amp;IF(AND(BE124=1,Skills!$I$20=1),Skills!$B$12&amp;", ","")&amp;IF(AND(BF124=1,Skills!$J$20=1),Skills!$B$13&amp;", ","")&amp;IF(AND(BG124=1,Skills!$K$20=1),Skills!$B$14&amp;", ","")&amp;IF(AND(BH124=1,Skills!$L$20=1),Skills!$B$15&amp;", ","")&amp;IF(AND(BI124=1,Skills!$M$20=1),Skills!$B$16&amp;", ",""))-2)))</f>
        <v/>
      </c>
    </row>
    <row r="125">
      <c r="AD125" s="20" t="n"/>
      <c r="AE125" s="20" t="n"/>
      <c r="AF125" s="20" t="n"/>
      <c r="AG125" s="20" t="n"/>
      <c r="AH125" s="20" t="n"/>
      <c r="AI125" s="20" t="n"/>
      <c r="AJ125" s="20" t="n"/>
      <c r="AK125" s="20" t="n"/>
      <c r="AL125" s="20" t="n"/>
      <c r="AM125" s="20" t="n"/>
      <c r="AN125" s="20" t="n"/>
      <c r="AO125" s="20" t="n"/>
      <c r="AP125" s="20" t="n"/>
      <c r="AR125" s="31">
        <f>IF(IFERROR(TRIM(INDEX($A125:$AB125,MATCH(Lists!$B$5,$A$1:$AB$1,0))&amp;""),"")&lt;&gt;"",IFERROR(TRIM(INDEX($A125:$AB125,MATCH(Lists!$B$5,$A$1:$AB$1,0))&amp;""),""),IFERROR(TRIM(INDEX($A125:$AB125,MATCH(Lists!$B$3,$A$1:$AB$1,0))&amp;""),""))</f>
        <v/>
      </c>
      <c r="AS125" s="31">
        <f>IF(AR125="","",IF(IFERROR(TRIM(INDEX($A125:$AB125,MATCH(Lists!$B$5,$A$1:$AB$1,0))&amp;""),"")&lt;&gt;"","Nominated","Applied"))</f>
        <v/>
      </c>
      <c r="AT125" s="31">
        <f>IF(AR125="","",IF(IFERROR(TRIM(INDEX($A125:$AB125,MATCH(Lists!$B$5,$A$1:$AB$1,0))&amp;""),"")&lt;&gt;"",IFERROR(TRIM(INDEX($A125:$AB125,MATCH(Lists!$B$6,$A$1:$AB$1,0))&amp;""),""),IFERROR(TRIM(INDEX($A125:$AB125,MATCH(Lists!$B$4,$A$1:$AB$1,0))&amp;""),"")))</f>
        <v/>
      </c>
      <c r="AU125" s="31">
        <f>IF(AR125="","",IFERROR(TRIM(INDEX($A125:$AB125,MATCH(Lists!$B$7,$A$1:$AB$1,0))&amp;""),""))</f>
        <v/>
      </c>
      <c r="AV125" s="31">
        <f>IF(AR125="","",IFERROR(TRIM(INDEX($A125:$AB125,MATCH(Lists!$B$9,$A$1:$AB$1,0))&amp;""),""))</f>
        <v/>
      </c>
      <c r="AW125" s="31">
        <f>IF(AR125="","",IFERROR(TRIM(INDEX($A125:$AB125,MATCH(Lists!$B$8,$A$1:$AB$1,0))&amp;""),""))</f>
        <v/>
      </c>
      <c r="AX125" s="23">
        <f>IF(AR125="","",IF(OR(TRIM(AE125&amp;"")&lt;&gt;"",AND(Skills!$B$5&lt;&gt;"",ISNUMBER(SEARCH(Skills!$B$5,AU125)))),1,0))</f>
        <v/>
      </c>
      <c r="AY125" s="23">
        <f>IF(AR125="","",IF(OR(TRIM(AF125&amp;"")&lt;&gt;"",AND(Skills!$B$6&lt;&gt;"",ISNUMBER(SEARCH(Skills!$B$6,AU125)))),1,0))</f>
        <v/>
      </c>
      <c r="AZ125" s="23">
        <f>IF(AR125="","",IF(OR(TRIM(AG125&amp;"")&lt;&gt;"",AND(Skills!$B$7&lt;&gt;"",ISNUMBER(SEARCH(Skills!$B$7,AU125)))),1,0))</f>
        <v/>
      </c>
      <c r="BA125" s="23">
        <f>IF(AR125="","",IF(OR(TRIM(AH125&amp;"")&lt;&gt;"",AND(Skills!$B$8&lt;&gt;"",ISNUMBER(SEARCH(Skills!$B$8,AU125)))),1,0))</f>
        <v/>
      </c>
      <c r="BB125" s="23">
        <f>IF(AR125="","",IF(OR(TRIM(AI125&amp;"")&lt;&gt;"",AND(Skills!$B$9&lt;&gt;"",ISNUMBER(SEARCH(Skills!$B$9,AU125)))),1,0))</f>
        <v/>
      </c>
      <c r="BC125" s="23">
        <f>IF(AR125="","",IF(OR(TRIM(AJ125&amp;"")&lt;&gt;"",AND(Skills!$B$10&lt;&gt;"",ISNUMBER(SEARCH(Skills!$B$10,AU125)))),1,0))</f>
        <v/>
      </c>
      <c r="BD125" s="23">
        <f>IF(AR125="","",IF(OR(TRIM(AK125&amp;"")&lt;&gt;"",AND(Skills!$B$11&lt;&gt;"",ISNUMBER(SEARCH(Skills!$B$11,AU125)))),1,0))</f>
        <v/>
      </c>
      <c r="BE125" s="23">
        <f>IF(AR125="","",IF(OR(TRIM(AL125&amp;"")&lt;&gt;"",AND(Skills!$B$12&lt;&gt;"",ISNUMBER(SEARCH(Skills!$B$12,AU125)))),1,0))</f>
        <v/>
      </c>
      <c r="BF125" s="23">
        <f>IF(AR125="","",IF(OR(TRIM(AM125&amp;"")&lt;&gt;"",AND(Skills!$B$13&lt;&gt;"",ISNUMBER(SEARCH(Skills!$B$13,AU125)))),1,0))</f>
        <v/>
      </c>
      <c r="BG125" s="23">
        <f>IF(AR125="","",IF(OR(TRIM(AN125&amp;"")&lt;&gt;"",AND(Skills!$B$14&lt;&gt;"",ISNUMBER(SEARCH(Skills!$B$14,AU125)))),1,0))</f>
        <v/>
      </c>
      <c r="BH125" s="23">
        <f>IF(AR125="","",IF(OR(TRIM(AO125&amp;"")&lt;&gt;"",AND(Skills!$B$15&lt;&gt;"",ISNUMBER(SEARCH(Skills!$B$15,AU125)))),1,0))</f>
        <v/>
      </c>
      <c r="BI125" s="23">
        <f>IF(AR125="","",IF(OR(TRIM(AP125&amp;"")&lt;&gt;"",AND(Skills!$B$16&lt;&gt;"",ISNUMBER(SEARCH(Skills!$B$16,AU125)))),1,0))</f>
        <v/>
      </c>
      <c r="BJ125" s="23">
        <f>IF(AR125="","",SUMPRODUCT($AX125:$BI125,Skills!$B$20:$M$20))</f>
        <v/>
      </c>
      <c r="BK125" s="23">
        <f>IF(AR125="","",BJ125*100000+(100000-ROW()))</f>
        <v/>
      </c>
      <c r="BL125" s="31">
        <f>IF(AR125="","",IF((IF(AND(AX125=1,Skills!$B$20=1),Skills!$B$5&amp;", ","")&amp;IF(AND(AY125=1,Skills!$C$20=1),Skills!$B$6&amp;", ","")&amp;IF(AND(AZ125=1,Skills!$D$20=1),Skills!$B$7&amp;", ","")&amp;IF(AND(BA125=1,Skills!$E$20=1),Skills!$B$8&amp;", ","")&amp;IF(AND(BB125=1,Skills!$F$20=1),Skills!$B$9&amp;", ","")&amp;IF(AND(BC125=1,Skills!$G$20=1),Skills!$B$10&amp;", ","")&amp;IF(AND(BD125=1,Skills!$H$20=1),Skills!$B$11&amp;", ","")&amp;IF(AND(BE125=1,Skills!$I$20=1),Skills!$B$12&amp;", ","")&amp;IF(AND(BF125=1,Skills!$J$20=1),Skills!$B$13&amp;", ","")&amp;IF(AND(BG125=1,Skills!$K$20=1),Skills!$B$14&amp;", ","")&amp;IF(AND(BH125=1,Skills!$L$20=1),Skills!$B$15&amp;", ","")&amp;IF(AND(BI125=1,Skills!$M$20=1),Skills!$B$16&amp;", ",""))="","",LEFT(IF(AND(AX125=1,Skills!$B$20=1),Skills!$B$5&amp;", ","")&amp;IF(AND(AY125=1,Skills!$C$20=1),Skills!$B$6&amp;", ","")&amp;IF(AND(AZ125=1,Skills!$D$20=1),Skills!$B$7&amp;", ","")&amp;IF(AND(BA125=1,Skills!$E$20=1),Skills!$B$8&amp;", ","")&amp;IF(AND(BB125=1,Skills!$F$20=1),Skills!$B$9&amp;", ","")&amp;IF(AND(BC125=1,Skills!$G$20=1),Skills!$B$10&amp;", ","")&amp;IF(AND(BD125=1,Skills!$H$20=1),Skills!$B$11&amp;", ","")&amp;IF(AND(BE125=1,Skills!$I$20=1),Skills!$B$12&amp;", ","")&amp;IF(AND(BF125=1,Skills!$J$20=1),Skills!$B$13&amp;", ","")&amp;IF(AND(BG125=1,Skills!$K$20=1),Skills!$B$14&amp;", ","")&amp;IF(AND(BH125=1,Skills!$L$20=1),Skills!$B$15&amp;", ","")&amp;IF(AND(BI125=1,Skills!$M$20=1),Skills!$B$16&amp;", ",""),LEN(IF(AND(AX125=1,Skills!$B$20=1),Skills!$B$5&amp;", ","")&amp;IF(AND(AY125=1,Skills!$C$20=1),Skills!$B$6&amp;", ","")&amp;IF(AND(AZ125=1,Skills!$D$20=1),Skills!$B$7&amp;", ","")&amp;IF(AND(BA125=1,Skills!$E$20=1),Skills!$B$8&amp;", ","")&amp;IF(AND(BB125=1,Skills!$F$20=1),Skills!$B$9&amp;", ","")&amp;IF(AND(BC125=1,Skills!$G$20=1),Skills!$B$10&amp;", ","")&amp;IF(AND(BD125=1,Skills!$H$20=1),Skills!$B$11&amp;", ","")&amp;IF(AND(BE125=1,Skills!$I$20=1),Skills!$B$12&amp;", ","")&amp;IF(AND(BF125=1,Skills!$J$20=1),Skills!$B$13&amp;", ","")&amp;IF(AND(BG125=1,Skills!$K$20=1),Skills!$B$14&amp;", ","")&amp;IF(AND(BH125=1,Skills!$L$20=1),Skills!$B$15&amp;", ","")&amp;IF(AND(BI125=1,Skills!$M$20=1),Skills!$B$16&amp;", ",""))-2)))</f>
        <v/>
      </c>
    </row>
    <row r="126">
      <c r="AD126" s="20" t="n"/>
      <c r="AE126" s="20" t="n"/>
      <c r="AF126" s="20" t="n"/>
      <c r="AG126" s="20" t="n"/>
      <c r="AH126" s="20" t="n"/>
      <c r="AI126" s="20" t="n"/>
      <c r="AJ126" s="20" t="n"/>
      <c r="AK126" s="20" t="n"/>
      <c r="AL126" s="20" t="n"/>
      <c r="AM126" s="20" t="n"/>
      <c r="AN126" s="20" t="n"/>
      <c r="AO126" s="20" t="n"/>
      <c r="AP126" s="20" t="n"/>
      <c r="AR126" s="31">
        <f>IF(IFERROR(TRIM(INDEX($A126:$AB126,MATCH(Lists!$B$5,$A$1:$AB$1,0))&amp;""),"")&lt;&gt;"",IFERROR(TRIM(INDEX($A126:$AB126,MATCH(Lists!$B$5,$A$1:$AB$1,0))&amp;""),""),IFERROR(TRIM(INDEX($A126:$AB126,MATCH(Lists!$B$3,$A$1:$AB$1,0))&amp;""),""))</f>
        <v/>
      </c>
      <c r="AS126" s="31">
        <f>IF(AR126="","",IF(IFERROR(TRIM(INDEX($A126:$AB126,MATCH(Lists!$B$5,$A$1:$AB$1,0))&amp;""),"")&lt;&gt;"","Nominated","Applied"))</f>
        <v/>
      </c>
      <c r="AT126" s="31">
        <f>IF(AR126="","",IF(IFERROR(TRIM(INDEX($A126:$AB126,MATCH(Lists!$B$5,$A$1:$AB$1,0))&amp;""),"")&lt;&gt;"",IFERROR(TRIM(INDEX($A126:$AB126,MATCH(Lists!$B$6,$A$1:$AB$1,0))&amp;""),""),IFERROR(TRIM(INDEX($A126:$AB126,MATCH(Lists!$B$4,$A$1:$AB$1,0))&amp;""),"")))</f>
        <v/>
      </c>
      <c r="AU126" s="31">
        <f>IF(AR126="","",IFERROR(TRIM(INDEX($A126:$AB126,MATCH(Lists!$B$7,$A$1:$AB$1,0))&amp;""),""))</f>
        <v/>
      </c>
      <c r="AV126" s="31">
        <f>IF(AR126="","",IFERROR(TRIM(INDEX($A126:$AB126,MATCH(Lists!$B$9,$A$1:$AB$1,0))&amp;""),""))</f>
        <v/>
      </c>
      <c r="AW126" s="31">
        <f>IF(AR126="","",IFERROR(TRIM(INDEX($A126:$AB126,MATCH(Lists!$B$8,$A$1:$AB$1,0))&amp;""),""))</f>
        <v/>
      </c>
      <c r="AX126" s="23">
        <f>IF(AR126="","",IF(OR(TRIM(AE126&amp;"")&lt;&gt;"",AND(Skills!$B$5&lt;&gt;"",ISNUMBER(SEARCH(Skills!$B$5,AU126)))),1,0))</f>
        <v/>
      </c>
      <c r="AY126" s="23">
        <f>IF(AR126="","",IF(OR(TRIM(AF126&amp;"")&lt;&gt;"",AND(Skills!$B$6&lt;&gt;"",ISNUMBER(SEARCH(Skills!$B$6,AU126)))),1,0))</f>
        <v/>
      </c>
      <c r="AZ126" s="23">
        <f>IF(AR126="","",IF(OR(TRIM(AG126&amp;"")&lt;&gt;"",AND(Skills!$B$7&lt;&gt;"",ISNUMBER(SEARCH(Skills!$B$7,AU126)))),1,0))</f>
        <v/>
      </c>
      <c r="BA126" s="23">
        <f>IF(AR126="","",IF(OR(TRIM(AH126&amp;"")&lt;&gt;"",AND(Skills!$B$8&lt;&gt;"",ISNUMBER(SEARCH(Skills!$B$8,AU126)))),1,0))</f>
        <v/>
      </c>
      <c r="BB126" s="23">
        <f>IF(AR126="","",IF(OR(TRIM(AI126&amp;"")&lt;&gt;"",AND(Skills!$B$9&lt;&gt;"",ISNUMBER(SEARCH(Skills!$B$9,AU126)))),1,0))</f>
        <v/>
      </c>
      <c r="BC126" s="23">
        <f>IF(AR126="","",IF(OR(TRIM(AJ126&amp;"")&lt;&gt;"",AND(Skills!$B$10&lt;&gt;"",ISNUMBER(SEARCH(Skills!$B$10,AU126)))),1,0))</f>
        <v/>
      </c>
      <c r="BD126" s="23">
        <f>IF(AR126="","",IF(OR(TRIM(AK126&amp;"")&lt;&gt;"",AND(Skills!$B$11&lt;&gt;"",ISNUMBER(SEARCH(Skills!$B$11,AU126)))),1,0))</f>
        <v/>
      </c>
      <c r="BE126" s="23">
        <f>IF(AR126="","",IF(OR(TRIM(AL126&amp;"")&lt;&gt;"",AND(Skills!$B$12&lt;&gt;"",ISNUMBER(SEARCH(Skills!$B$12,AU126)))),1,0))</f>
        <v/>
      </c>
      <c r="BF126" s="23">
        <f>IF(AR126="","",IF(OR(TRIM(AM126&amp;"")&lt;&gt;"",AND(Skills!$B$13&lt;&gt;"",ISNUMBER(SEARCH(Skills!$B$13,AU126)))),1,0))</f>
        <v/>
      </c>
      <c r="BG126" s="23">
        <f>IF(AR126="","",IF(OR(TRIM(AN126&amp;"")&lt;&gt;"",AND(Skills!$B$14&lt;&gt;"",ISNUMBER(SEARCH(Skills!$B$14,AU126)))),1,0))</f>
        <v/>
      </c>
      <c r="BH126" s="23">
        <f>IF(AR126="","",IF(OR(TRIM(AO126&amp;"")&lt;&gt;"",AND(Skills!$B$15&lt;&gt;"",ISNUMBER(SEARCH(Skills!$B$15,AU126)))),1,0))</f>
        <v/>
      </c>
      <c r="BI126" s="23">
        <f>IF(AR126="","",IF(OR(TRIM(AP126&amp;"")&lt;&gt;"",AND(Skills!$B$16&lt;&gt;"",ISNUMBER(SEARCH(Skills!$B$16,AU126)))),1,0))</f>
        <v/>
      </c>
      <c r="BJ126" s="23">
        <f>IF(AR126="","",SUMPRODUCT($AX126:$BI126,Skills!$B$20:$M$20))</f>
        <v/>
      </c>
      <c r="BK126" s="23">
        <f>IF(AR126="","",BJ126*100000+(100000-ROW()))</f>
        <v/>
      </c>
      <c r="BL126" s="31">
        <f>IF(AR126="","",IF((IF(AND(AX126=1,Skills!$B$20=1),Skills!$B$5&amp;", ","")&amp;IF(AND(AY126=1,Skills!$C$20=1),Skills!$B$6&amp;", ","")&amp;IF(AND(AZ126=1,Skills!$D$20=1),Skills!$B$7&amp;", ","")&amp;IF(AND(BA126=1,Skills!$E$20=1),Skills!$B$8&amp;", ","")&amp;IF(AND(BB126=1,Skills!$F$20=1),Skills!$B$9&amp;", ","")&amp;IF(AND(BC126=1,Skills!$G$20=1),Skills!$B$10&amp;", ","")&amp;IF(AND(BD126=1,Skills!$H$20=1),Skills!$B$11&amp;", ","")&amp;IF(AND(BE126=1,Skills!$I$20=1),Skills!$B$12&amp;", ","")&amp;IF(AND(BF126=1,Skills!$J$20=1),Skills!$B$13&amp;", ","")&amp;IF(AND(BG126=1,Skills!$K$20=1),Skills!$B$14&amp;", ","")&amp;IF(AND(BH126=1,Skills!$L$20=1),Skills!$B$15&amp;", ","")&amp;IF(AND(BI126=1,Skills!$M$20=1),Skills!$B$16&amp;", ",""))="","",LEFT(IF(AND(AX126=1,Skills!$B$20=1),Skills!$B$5&amp;", ","")&amp;IF(AND(AY126=1,Skills!$C$20=1),Skills!$B$6&amp;", ","")&amp;IF(AND(AZ126=1,Skills!$D$20=1),Skills!$B$7&amp;", ","")&amp;IF(AND(BA126=1,Skills!$E$20=1),Skills!$B$8&amp;", ","")&amp;IF(AND(BB126=1,Skills!$F$20=1),Skills!$B$9&amp;", ","")&amp;IF(AND(BC126=1,Skills!$G$20=1),Skills!$B$10&amp;", ","")&amp;IF(AND(BD126=1,Skills!$H$20=1),Skills!$B$11&amp;", ","")&amp;IF(AND(BE126=1,Skills!$I$20=1),Skills!$B$12&amp;", ","")&amp;IF(AND(BF126=1,Skills!$J$20=1),Skills!$B$13&amp;", ","")&amp;IF(AND(BG126=1,Skills!$K$20=1),Skills!$B$14&amp;", ","")&amp;IF(AND(BH126=1,Skills!$L$20=1),Skills!$B$15&amp;", ","")&amp;IF(AND(BI126=1,Skills!$M$20=1),Skills!$B$16&amp;", ",""),LEN(IF(AND(AX126=1,Skills!$B$20=1),Skills!$B$5&amp;", ","")&amp;IF(AND(AY126=1,Skills!$C$20=1),Skills!$B$6&amp;", ","")&amp;IF(AND(AZ126=1,Skills!$D$20=1),Skills!$B$7&amp;", ","")&amp;IF(AND(BA126=1,Skills!$E$20=1),Skills!$B$8&amp;", ","")&amp;IF(AND(BB126=1,Skills!$F$20=1),Skills!$B$9&amp;", ","")&amp;IF(AND(BC126=1,Skills!$G$20=1),Skills!$B$10&amp;", ","")&amp;IF(AND(BD126=1,Skills!$H$20=1),Skills!$B$11&amp;", ","")&amp;IF(AND(BE126=1,Skills!$I$20=1),Skills!$B$12&amp;", ","")&amp;IF(AND(BF126=1,Skills!$J$20=1),Skills!$B$13&amp;", ","")&amp;IF(AND(BG126=1,Skills!$K$20=1),Skills!$B$14&amp;", ","")&amp;IF(AND(BH126=1,Skills!$L$20=1),Skills!$B$15&amp;", ","")&amp;IF(AND(BI126=1,Skills!$M$20=1),Skills!$B$16&amp;", ",""))-2)))</f>
        <v/>
      </c>
    </row>
    <row r="127">
      <c r="AD127" s="20" t="n"/>
      <c r="AE127" s="20" t="n"/>
      <c r="AF127" s="20" t="n"/>
      <c r="AG127" s="20" t="n"/>
      <c r="AH127" s="20" t="n"/>
      <c r="AI127" s="20" t="n"/>
      <c r="AJ127" s="20" t="n"/>
      <c r="AK127" s="20" t="n"/>
      <c r="AL127" s="20" t="n"/>
      <c r="AM127" s="20" t="n"/>
      <c r="AN127" s="20" t="n"/>
      <c r="AO127" s="20" t="n"/>
      <c r="AP127" s="20" t="n"/>
      <c r="AR127" s="31">
        <f>IF(IFERROR(TRIM(INDEX($A127:$AB127,MATCH(Lists!$B$5,$A$1:$AB$1,0))&amp;""),"")&lt;&gt;"",IFERROR(TRIM(INDEX($A127:$AB127,MATCH(Lists!$B$5,$A$1:$AB$1,0))&amp;""),""),IFERROR(TRIM(INDEX($A127:$AB127,MATCH(Lists!$B$3,$A$1:$AB$1,0))&amp;""),""))</f>
        <v/>
      </c>
      <c r="AS127" s="31">
        <f>IF(AR127="","",IF(IFERROR(TRIM(INDEX($A127:$AB127,MATCH(Lists!$B$5,$A$1:$AB$1,0))&amp;""),"")&lt;&gt;"","Nominated","Applied"))</f>
        <v/>
      </c>
      <c r="AT127" s="31">
        <f>IF(AR127="","",IF(IFERROR(TRIM(INDEX($A127:$AB127,MATCH(Lists!$B$5,$A$1:$AB$1,0))&amp;""),"")&lt;&gt;"",IFERROR(TRIM(INDEX($A127:$AB127,MATCH(Lists!$B$6,$A$1:$AB$1,0))&amp;""),""),IFERROR(TRIM(INDEX($A127:$AB127,MATCH(Lists!$B$4,$A$1:$AB$1,0))&amp;""),"")))</f>
        <v/>
      </c>
      <c r="AU127" s="31">
        <f>IF(AR127="","",IFERROR(TRIM(INDEX($A127:$AB127,MATCH(Lists!$B$7,$A$1:$AB$1,0))&amp;""),""))</f>
        <v/>
      </c>
      <c r="AV127" s="31">
        <f>IF(AR127="","",IFERROR(TRIM(INDEX($A127:$AB127,MATCH(Lists!$B$9,$A$1:$AB$1,0))&amp;""),""))</f>
        <v/>
      </c>
      <c r="AW127" s="31">
        <f>IF(AR127="","",IFERROR(TRIM(INDEX($A127:$AB127,MATCH(Lists!$B$8,$A$1:$AB$1,0))&amp;""),""))</f>
        <v/>
      </c>
      <c r="AX127" s="23">
        <f>IF(AR127="","",IF(OR(TRIM(AE127&amp;"")&lt;&gt;"",AND(Skills!$B$5&lt;&gt;"",ISNUMBER(SEARCH(Skills!$B$5,AU127)))),1,0))</f>
        <v/>
      </c>
      <c r="AY127" s="23">
        <f>IF(AR127="","",IF(OR(TRIM(AF127&amp;"")&lt;&gt;"",AND(Skills!$B$6&lt;&gt;"",ISNUMBER(SEARCH(Skills!$B$6,AU127)))),1,0))</f>
        <v/>
      </c>
      <c r="AZ127" s="23">
        <f>IF(AR127="","",IF(OR(TRIM(AG127&amp;"")&lt;&gt;"",AND(Skills!$B$7&lt;&gt;"",ISNUMBER(SEARCH(Skills!$B$7,AU127)))),1,0))</f>
        <v/>
      </c>
      <c r="BA127" s="23">
        <f>IF(AR127="","",IF(OR(TRIM(AH127&amp;"")&lt;&gt;"",AND(Skills!$B$8&lt;&gt;"",ISNUMBER(SEARCH(Skills!$B$8,AU127)))),1,0))</f>
        <v/>
      </c>
      <c r="BB127" s="23">
        <f>IF(AR127="","",IF(OR(TRIM(AI127&amp;"")&lt;&gt;"",AND(Skills!$B$9&lt;&gt;"",ISNUMBER(SEARCH(Skills!$B$9,AU127)))),1,0))</f>
        <v/>
      </c>
      <c r="BC127" s="23">
        <f>IF(AR127="","",IF(OR(TRIM(AJ127&amp;"")&lt;&gt;"",AND(Skills!$B$10&lt;&gt;"",ISNUMBER(SEARCH(Skills!$B$10,AU127)))),1,0))</f>
        <v/>
      </c>
      <c r="BD127" s="23">
        <f>IF(AR127="","",IF(OR(TRIM(AK127&amp;"")&lt;&gt;"",AND(Skills!$B$11&lt;&gt;"",ISNUMBER(SEARCH(Skills!$B$11,AU127)))),1,0))</f>
        <v/>
      </c>
      <c r="BE127" s="23">
        <f>IF(AR127="","",IF(OR(TRIM(AL127&amp;"")&lt;&gt;"",AND(Skills!$B$12&lt;&gt;"",ISNUMBER(SEARCH(Skills!$B$12,AU127)))),1,0))</f>
        <v/>
      </c>
      <c r="BF127" s="23">
        <f>IF(AR127="","",IF(OR(TRIM(AM127&amp;"")&lt;&gt;"",AND(Skills!$B$13&lt;&gt;"",ISNUMBER(SEARCH(Skills!$B$13,AU127)))),1,0))</f>
        <v/>
      </c>
      <c r="BG127" s="23">
        <f>IF(AR127="","",IF(OR(TRIM(AN127&amp;"")&lt;&gt;"",AND(Skills!$B$14&lt;&gt;"",ISNUMBER(SEARCH(Skills!$B$14,AU127)))),1,0))</f>
        <v/>
      </c>
      <c r="BH127" s="23">
        <f>IF(AR127="","",IF(OR(TRIM(AO127&amp;"")&lt;&gt;"",AND(Skills!$B$15&lt;&gt;"",ISNUMBER(SEARCH(Skills!$B$15,AU127)))),1,0))</f>
        <v/>
      </c>
      <c r="BI127" s="23">
        <f>IF(AR127="","",IF(OR(TRIM(AP127&amp;"")&lt;&gt;"",AND(Skills!$B$16&lt;&gt;"",ISNUMBER(SEARCH(Skills!$B$16,AU127)))),1,0))</f>
        <v/>
      </c>
      <c r="BJ127" s="23">
        <f>IF(AR127="","",SUMPRODUCT($AX127:$BI127,Skills!$B$20:$M$20))</f>
        <v/>
      </c>
      <c r="BK127" s="23">
        <f>IF(AR127="","",BJ127*100000+(100000-ROW()))</f>
        <v/>
      </c>
      <c r="BL127" s="31">
        <f>IF(AR127="","",IF((IF(AND(AX127=1,Skills!$B$20=1),Skills!$B$5&amp;", ","")&amp;IF(AND(AY127=1,Skills!$C$20=1),Skills!$B$6&amp;", ","")&amp;IF(AND(AZ127=1,Skills!$D$20=1),Skills!$B$7&amp;", ","")&amp;IF(AND(BA127=1,Skills!$E$20=1),Skills!$B$8&amp;", ","")&amp;IF(AND(BB127=1,Skills!$F$20=1),Skills!$B$9&amp;", ","")&amp;IF(AND(BC127=1,Skills!$G$20=1),Skills!$B$10&amp;", ","")&amp;IF(AND(BD127=1,Skills!$H$20=1),Skills!$B$11&amp;", ","")&amp;IF(AND(BE127=1,Skills!$I$20=1),Skills!$B$12&amp;", ","")&amp;IF(AND(BF127=1,Skills!$J$20=1),Skills!$B$13&amp;", ","")&amp;IF(AND(BG127=1,Skills!$K$20=1),Skills!$B$14&amp;", ","")&amp;IF(AND(BH127=1,Skills!$L$20=1),Skills!$B$15&amp;", ","")&amp;IF(AND(BI127=1,Skills!$M$20=1),Skills!$B$16&amp;", ",""))="","",LEFT(IF(AND(AX127=1,Skills!$B$20=1),Skills!$B$5&amp;", ","")&amp;IF(AND(AY127=1,Skills!$C$20=1),Skills!$B$6&amp;", ","")&amp;IF(AND(AZ127=1,Skills!$D$20=1),Skills!$B$7&amp;", ","")&amp;IF(AND(BA127=1,Skills!$E$20=1),Skills!$B$8&amp;", ","")&amp;IF(AND(BB127=1,Skills!$F$20=1),Skills!$B$9&amp;", ","")&amp;IF(AND(BC127=1,Skills!$G$20=1),Skills!$B$10&amp;", ","")&amp;IF(AND(BD127=1,Skills!$H$20=1),Skills!$B$11&amp;", ","")&amp;IF(AND(BE127=1,Skills!$I$20=1),Skills!$B$12&amp;", ","")&amp;IF(AND(BF127=1,Skills!$J$20=1),Skills!$B$13&amp;", ","")&amp;IF(AND(BG127=1,Skills!$K$20=1),Skills!$B$14&amp;", ","")&amp;IF(AND(BH127=1,Skills!$L$20=1),Skills!$B$15&amp;", ","")&amp;IF(AND(BI127=1,Skills!$M$20=1),Skills!$B$16&amp;", ",""),LEN(IF(AND(AX127=1,Skills!$B$20=1),Skills!$B$5&amp;", ","")&amp;IF(AND(AY127=1,Skills!$C$20=1),Skills!$B$6&amp;", ","")&amp;IF(AND(AZ127=1,Skills!$D$20=1),Skills!$B$7&amp;", ","")&amp;IF(AND(BA127=1,Skills!$E$20=1),Skills!$B$8&amp;", ","")&amp;IF(AND(BB127=1,Skills!$F$20=1),Skills!$B$9&amp;", ","")&amp;IF(AND(BC127=1,Skills!$G$20=1),Skills!$B$10&amp;", ","")&amp;IF(AND(BD127=1,Skills!$H$20=1),Skills!$B$11&amp;", ","")&amp;IF(AND(BE127=1,Skills!$I$20=1),Skills!$B$12&amp;", ","")&amp;IF(AND(BF127=1,Skills!$J$20=1),Skills!$B$13&amp;", ","")&amp;IF(AND(BG127=1,Skills!$K$20=1),Skills!$B$14&amp;", ","")&amp;IF(AND(BH127=1,Skills!$L$20=1),Skills!$B$15&amp;", ","")&amp;IF(AND(BI127=1,Skills!$M$20=1),Skills!$B$16&amp;", ",""))-2)))</f>
        <v/>
      </c>
    </row>
    <row r="128">
      <c r="AD128" s="20" t="n"/>
      <c r="AE128" s="20" t="n"/>
      <c r="AF128" s="20" t="n"/>
      <c r="AG128" s="20" t="n"/>
      <c r="AH128" s="20" t="n"/>
      <c r="AI128" s="20" t="n"/>
      <c r="AJ128" s="20" t="n"/>
      <c r="AK128" s="20" t="n"/>
      <c r="AL128" s="20" t="n"/>
      <c r="AM128" s="20" t="n"/>
      <c r="AN128" s="20" t="n"/>
      <c r="AO128" s="20" t="n"/>
      <c r="AP128" s="20" t="n"/>
      <c r="AR128" s="31">
        <f>IF(IFERROR(TRIM(INDEX($A128:$AB128,MATCH(Lists!$B$5,$A$1:$AB$1,0))&amp;""),"")&lt;&gt;"",IFERROR(TRIM(INDEX($A128:$AB128,MATCH(Lists!$B$5,$A$1:$AB$1,0))&amp;""),""),IFERROR(TRIM(INDEX($A128:$AB128,MATCH(Lists!$B$3,$A$1:$AB$1,0))&amp;""),""))</f>
        <v/>
      </c>
      <c r="AS128" s="31">
        <f>IF(AR128="","",IF(IFERROR(TRIM(INDEX($A128:$AB128,MATCH(Lists!$B$5,$A$1:$AB$1,0))&amp;""),"")&lt;&gt;"","Nominated","Applied"))</f>
        <v/>
      </c>
      <c r="AT128" s="31">
        <f>IF(AR128="","",IF(IFERROR(TRIM(INDEX($A128:$AB128,MATCH(Lists!$B$5,$A$1:$AB$1,0))&amp;""),"")&lt;&gt;"",IFERROR(TRIM(INDEX($A128:$AB128,MATCH(Lists!$B$6,$A$1:$AB$1,0))&amp;""),""),IFERROR(TRIM(INDEX($A128:$AB128,MATCH(Lists!$B$4,$A$1:$AB$1,0))&amp;""),"")))</f>
        <v/>
      </c>
      <c r="AU128" s="31">
        <f>IF(AR128="","",IFERROR(TRIM(INDEX($A128:$AB128,MATCH(Lists!$B$7,$A$1:$AB$1,0))&amp;""),""))</f>
        <v/>
      </c>
      <c r="AV128" s="31">
        <f>IF(AR128="","",IFERROR(TRIM(INDEX($A128:$AB128,MATCH(Lists!$B$9,$A$1:$AB$1,0))&amp;""),""))</f>
        <v/>
      </c>
      <c r="AW128" s="31">
        <f>IF(AR128="","",IFERROR(TRIM(INDEX($A128:$AB128,MATCH(Lists!$B$8,$A$1:$AB$1,0))&amp;""),""))</f>
        <v/>
      </c>
      <c r="AX128" s="23">
        <f>IF(AR128="","",IF(OR(TRIM(AE128&amp;"")&lt;&gt;"",AND(Skills!$B$5&lt;&gt;"",ISNUMBER(SEARCH(Skills!$B$5,AU128)))),1,0))</f>
        <v/>
      </c>
      <c r="AY128" s="23">
        <f>IF(AR128="","",IF(OR(TRIM(AF128&amp;"")&lt;&gt;"",AND(Skills!$B$6&lt;&gt;"",ISNUMBER(SEARCH(Skills!$B$6,AU128)))),1,0))</f>
        <v/>
      </c>
      <c r="AZ128" s="23">
        <f>IF(AR128="","",IF(OR(TRIM(AG128&amp;"")&lt;&gt;"",AND(Skills!$B$7&lt;&gt;"",ISNUMBER(SEARCH(Skills!$B$7,AU128)))),1,0))</f>
        <v/>
      </c>
      <c r="BA128" s="23">
        <f>IF(AR128="","",IF(OR(TRIM(AH128&amp;"")&lt;&gt;"",AND(Skills!$B$8&lt;&gt;"",ISNUMBER(SEARCH(Skills!$B$8,AU128)))),1,0))</f>
        <v/>
      </c>
      <c r="BB128" s="23">
        <f>IF(AR128="","",IF(OR(TRIM(AI128&amp;"")&lt;&gt;"",AND(Skills!$B$9&lt;&gt;"",ISNUMBER(SEARCH(Skills!$B$9,AU128)))),1,0))</f>
        <v/>
      </c>
      <c r="BC128" s="23">
        <f>IF(AR128="","",IF(OR(TRIM(AJ128&amp;"")&lt;&gt;"",AND(Skills!$B$10&lt;&gt;"",ISNUMBER(SEARCH(Skills!$B$10,AU128)))),1,0))</f>
        <v/>
      </c>
      <c r="BD128" s="23">
        <f>IF(AR128="","",IF(OR(TRIM(AK128&amp;"")&lt;&gt;"",AND(Skills!$B$11&lt;&gt;"",ISNUMBER(SEARCH(Skills!$B$11,AU128)))),1,0))</f>
        <v/>
      </c>
      <c r="BE128" s="23">
        <f>IF(AR128="","",IF(OR(TRIM(AL128&amp;"")&lt;&gt;"",AND(Skills!$B$12&lt;&gt;"",ISNUMBER(SEARCH(Skills!$B$12,AU128)))),1,0))</f>
        <v/>
      </c>
      <c r="BF128" s="23">
        <f>IF(AR128="","",IF(OR(TRIM(AM128&amp;"")&lt;&gt;"",AND(Skills!$B$13&lt;&gt;"",ISNUMBER(SEARCH(Skills!$B$13,AU128)))),1,0))</f>
        <v/>
      </c>
      <c r="BG128" s="23">
        <f>IF(AR128="","",IF(OR(TRIM(AN128&amp;"")&lt;&gt;"",AND(Skills!$B$14&lt;&gt;"",ISNUMBER(SEARCH(Skills!$B$14,AU128)))),1,0))</f>
        <v/>
      </c>
      <c r="BH128" s="23">
        <f>IF(AR128="","",IF(OR(TRIM(AO128&amp;"")&lt;&gt;"",AND(Skills!$B$15&lt;&gt;"",ISNUMBER(SEARCH(Skills!$B$15,AU128)))),1,0))</f>
        <v/>
      </c>
      <c r="BI128" s="23">
        <f>IF(AR128="","",IF(OR(TRIM(AP128&amp;"")&lt;&gt;"",AND(Skills!$B$16&lt;&gt;"",ISNUMBER(SEARCH(Skills!$B$16,AU128)))),1,0))</f>
        <v/>
      </c>
      <c r="BJ128" s="23">
        <f>IF(AR128="","",SUMPRODUCT($AX128:$BI128,Skills!$B$20:$M$20))</f>
        <v/>
      </c>
      <c r="BK128" s="23">
        <f>IF(AR128="","",BJ128*100000+(100000-ROW()))</f>
        <v/>
      </c>
      <c r="BL128" s="31">
        <f>IF(AR128="","",IF((IF(AND(AX128=1,Skills!$B$20=1),Skills!$B$5&amp;", ","")&amp;IF(AND(AY128=1,Skills!$C$20=1),Skills!$B$6&amp;", ","")&amp;IF(AND(AZ128=1,Skills!$D$20=1),Skills!$B$7&amp;", ","")&amp;IF(AND(BA128=1,Skills!$E$20=1),Skills!$B$8&amp;", ","")&amp;IF(AND(BB128=1,Skills!$F$20=1),Skills!$B$9&amp;", ","")&amp;IF(AND(BC128=1,Skills!$G$20=1),Skills!$B$10&amp;", ","")&amp;IF(AND(BD128=1,Skills!$H$20=1),Skills!$B$11&amp;", ","")&amp;IF(AND(BE128=1,Skills!$I$20=1),Skills!$B$12&amp;", ","")&amp;IF(AND(BF128=1,Skills!$J$20=1),Skills!$B$13&amp;", ","")&amp;IF(AND(BG128=1,Skills!$K$20=1),Skills!$B$14&amp;", ","")&amp;IF(AND(BH128=1,Skills!$L$20=1),Skills!$B$15&amp;", ","")&amp;IF(AND(BI128=1,Skills!$M$20=1),Skills!$B$16&amp;", ",""))="","",LEFT(IF(AND(AX128=1,Skills!$B$20=1),Skills!$B$5&amp;", ","")&amp;IF(AND(AY128=1,Skills!$C$20=1),Skills!$B$6&amp;", ","")&amp;IF(AND(AZ128=1,Skills!$D$20=1),Skills!$B$7&amp;", ","")&amp;IF(AND(BA128=1,Skills!$E$20=1),Skills!$B$8&amp;", ","")&amp;IF(AND(BB128=1,Skills!$F$20=1),Skills!$B$9&amp;", ","")&amp;IF(AND(BC128=1,Skills!$G$20=1),Skills!$B$10&amp;", ","")&amp;IF(AND(BD128=1,Skills!$H$20=1),Skills!$B$11&amp;", ","")&amp;IF(AND(BE128=1,Skills!$I$20=1),Skills!$B$12&amp;", ","")&amp;IF(AND(BF128=1,Skills!$J$20=1),Skills!$B$13&amp;", ","")&amp;IF(AND(BG128=1,Skills!$K$20=1),Skills!$B$14&amp;", ","")&amp;IF(AND(BH128=1,Skills!$L$20=1),Skills!$B$15&amp;", ","")&amp;IF(AND(BI128=1,Skills!$M$20=1),Skills!$B$16&amp;", ",""),LEN(IF(AND(AX128=1,Skills!$B$20=1),Skills!$B$5&amp;", ","")&amp;IF(AND(AY128=1,Skills!$C$20=1),Skills!$B$6&amp;", ","")&amp;IF(AND(AZ128=1,Skills!$D$20=1),Skills!$B$7&amp;", ","")&amp;IF(AND(BA128=1,Skills!$E$20=1),Skills!$B$8&amp;", ","")&amp;IF(AND(BB128=1,Skills!$F$20=1),Skills!$B$9&amp;", ","")&amp;IF(AND(BC128=1,Skills!$G$20=1),Skills!$B$10&amp;", ","")&amp;IF(AND(BD128=1,Skills!$H$20=1),Skills!$B$11&amp;", ","")&amp;IF(AND(BE128=1,Skills!$I$20=1),Skills!$B$12&amp;", ","")&amp;IF(AND(BF128=1,Skills!$J$20=1),Skills!$B$13&amp;", ","")&amp;IF(AND(BG128=1,Skills!$K$20=1),Skills!$B$14&amp;", ","")&amp;IF(AND(BH128=1,Skills!$L$20=1),Skills!$B$15&amp;", ","")&amp;IF(AND(BI128=1,Skills!$M$20=1),Skills!$B$16&amp;", ",""))-2)))</f>
        <v/>
      </c>
    </row>
    <row r="129">
      <c r="AD129" s="20" t="n"/>
      <c r="AE129" s="20" t="n"/>
      <c r="AF129" s="20" t="n"/>
      <c r="AG129" s="20" t="n"/>
      <c r="AH129" s="20" t="n"/>
      <c r="AI129" s="20" t="n"/>
      <c r="AJ129" s="20" t="n"/>
      <c r="AK129" s="20" t="n"/>
      <c r="AL129" s="20" t="n"/>
      <c r="AM129" s="20" t="n"/>
      <c r="AN129" s="20" t="n"/>
      <c r="AO129" s="20" t="n"/>
      <c r="AP129" s="20" t="n"/>
      <c r="AR129" s="31">
        <f>IF(IFERROR(TRIM(INDEX($A129:$AB129,MATCH(Lists!$B$5,$A$1:$AB$1,0))&amp;""),"")&lt;&gt;"",IFERROR(TRIM(INDEX($A129:$AB129,MATCH(Lists!$B$5,$A$1:$AB$1,0))&amp;""),""),IFERROR(TRIM(INDEX($A129:$AB129,MATCH(Lists!$B$3,$A$1:$AB$1,0))&amp;""),""))</f>
        <v/>
      </c>
      <c r="AS129" s="31">
        <f>IF(AR129="","",IF(IFERROR(TRIM(INDEX($A129:$AB129,MATCH(Lists!$B$5,$A$1:$AB$1,0))&amp;""),"")&lt;&gt;"","Nominated","Applied"))</f>
        <v/>
      </c>
      <c r="AT129" s="31">
        <f>IF(AR129="","",IF(IFERROR(TRIM(INDEX($A129:$AB129,MATCH(Lists!$B$5,$A$1:$AB$1,0))&amp;""),"")&lt;&gt;"",IFERROR(TRIM(INDEX($A129:$AB129,MATCH(Lists!$B$6,$A$1:$AB$1,0))&amp;""),""),IFERROR(TRIM(INDEX($A129:$AB129,MATCH(Lists!$B$4,$A$1:$AB$1,0))&amp;""),"")))</f>
        <v/>
      </c>
      <c r="AU129" s="31">
        <f>IF(AR129="","",IFERROR(TRIM(INDEX($A129:$AB129,MATCH(Lists!$B$7,$A$1:$AB$1,0))&amp;""),""))</f>
        <v/>
      </c>
      <c r="AV129" s="31">
        <f>IF(AR129="","",IFERROR(TRIM(INDEX($A129:$AB129,MATCH(Lists!$B$9,$A$1:$AB$1,0))&amp;""),""))</f>
        <v/>
      </c>
      <c r="AW129" s="31">
        <f>IF(AR129="","",IFERROR(TRIM(INDEX($A129:$AB129,MATCH(Lists!$B$8,$A$1:$AB$1,0))&amp;""),""))</f>
        <v/>
      </c>
      <c r="AX129" s="23">
        <f>IF(AR129="","",IF(OR(TRIM(AE129&amp;"")&lt;&gt;"",AND(Skills!$B$5&lt;&gt;"",ISNUMBER(SEARCH(Skills!$B$5,AU129)))),1,0))</f>
        <v/>
      </c>
      <c r="AY129" s="23">
        <f>IF(AR129="","",IF(OR(TRIM(AF129&amp;"")&lt;&gt;"",AND(Skills!$B$6&lt;&gt;"",ISNUMBER(SEARCH(Skills!$B$6,AU129)))),1,0))</f>
        <v/>
      </c>
      <c r="AZ129" s="23">
        <f>IF(AR129="","",IF(OR(TRIM(AG129&amp;"")&lt;&gt;"",AND(Skills!$B$7&lt;&gt;"",ISNUMBER(SEARCH(Skills!$B$7,AU129)))),1,0))</f>
        <v/>
      </c>
      <c r="BA129" s="23">
        <f>IF(AR129="","",IF(OR(TRIM(AH129&amp;"")&lt;&gt;"",AND(Skills!$B$8&lt;&gt;"",ISNUMBER(SEARCH(Skills!$B$8,AU129)))),1,0))</f>
        <v/>
      </c>
      <c r="BB129" s="23">
        <f>IF(AR129="","",IF(OR(TRIM(AI129&amp;"")&lt;&gt;"",AND(Skills!$B$9&lt;&gt;"",ISNUMBER(SEARCH(Skills!$B$9,AU129)))),1,0))</f>
        <v/>
      </c>
      <c r="BC129" s="23">
        <f>IF(AR129="","",IF(OR(TRIM(AJ129&amp;"")&lt;&gt;"",AND(Skills!$B$10&lt;&gt;"",ISNUMBER(SEARCH(Skills!$B$10,AU129)))),1,0))</f>
        <v/>
      </c>
      <c r="BD129" s="23">
        <f>IF(AR129="","",IF(OR(TRIM(AK129&amp;"")&lt;&gt;"",AND(Skills!$B$11&lt;&gt;"",ISNUMBER(SEARCH(Skills!$B$11,AU129)))),1,0))</f>
        <v/>
      </c>
      <c r="BE129" s="23">
        <f>IF(AR129="","",IF(OR(TRIM(AL129&amp;"")&lt;&gt;"",AND(Skills!$B$12&lt;&gt;"",ISNUMBER(SEARCH(Skills!$B$12,AU129)))),1,0))</f>
        <v/>
      </c>
      <c r="BF129" s="23">
        <f>IF(AR129="","",IF(OR(TRIM(AM129&amp;"")&lt;&gt;"",AND(Skills!$B$13&lt;&gt;"",ISNUMBER(SEARCH(Skills!$B$13,AU129)))),1,0))</f>
        <v/>
      </c>
      <c r="BG129" s="23">
        <f>IF(AR129="","",IF(OR(TRIM(AN129&amp;"")&lt;&gt;"",AND(Skills!$B$14&lt;&gt;"",ISNUMBER(SEARCH(Skills!$B$14,AU129)))),1,0))</f>
        <v/>
      </c>
      <c r="BH129" s="23">
        <f>IF(AR129="","",IF(OR(TRIM(AO129&amp;"")&lt;&gt;"",AND(Skills!$B$15&lt;&gt;"",ISNUMBER(SEARCH(Skills!$B$15,AU129)))),1,0))</f>
        <v/>
      </c>
      <c r="BI129" s="23">
        <f>IF(AR129="","",IF(OR(TRIM(AP129&amp;"")&lt;&gt;"",AND(Skills!$B$16&lt;&gt;"",ISNUMBER(SEARCH(Skills!$B$16,AU129)))),1,0))</f>
        <v/>
      </c>
      <c r="BJ129" s="23">
        <f>IF(AR129="","",SUMPRODUCT($AX129:$BI129,Skills!$B$20:$M$20))</f>
        <v/>
      </c>
      <c r="BK129" s="23">
        <f>IF(AR129="","",BJ129*100000+(100000-ROW()))</f>
        <v/>
      </c>
      <c r="BL129" s="31">
        <f>IF(AR129="","",IF((IF(AND(AX129=1,Skills!$B$20=1),Skills!$B$5&amp;", ","")&amp;IF(AND(AY129=1,Skills!$C$20=1),Skills!$B$6&amp;", ","")&amp;IF(AND(AZ129=1,Skills!$D$20=1),Skills!$B$7&amp;", ","")&amp;IF(AND(BA129=1,Skills!$E$20=1),Skills!$B$8&amp;", ","")&amp;IF(AND(BB129=1,Skills!$F$20=1),Skills!$B$9&amp;", ","")&amp;IF(AND(BC129=1,Skills!$G$20=1),Skills!$B$10&amp;", ","")&amp;IF(AND(BD129=1,Skills!$H$20=1),Skills!$B$11&amp;", ","")&amp;IF(AND(BE129=1,Skills!$I$20=1),Skills!$B$12&amp;", ","")&amp;IF(AND(BF129=1,Skills!$J$20=1),Skills!$B$13&amp;", ","")&amp;IF(AND(BG129=1,Skills!$K$20=1),Skills!$B$14&amp;", ","")&amp;IF(AND(BH129=1,Skills!$L$20=1),Skills!$B$15&amp;", ","")&amp;IF(AND(BI129=1,Skills!$M$20=1),Skills!$B$16&amp;", ",""))="","",LEFT(IF(AND(AX129=1,Skills!$B$20=1),Skills!$B$5&amp;", ","")&amp;IF(AND(AY129=1,Skills!$C$20=1),Skills!$B$6&amp;", ","")&amp;IF(AND(AZ129=1,Skills!$D$20=1),Skills!$B$7&amp;", ","")&amp;IF(AND(BA129=1,Skills!$E$20=1),Skills!$B$8&amp;", ","")&amp;IF(AND(BB129=1,Skills!$F$20=1),Skills!$B$9&amp;", ","")&amp;IF(AND(BC129=1,Skills!$G$20=1),Skills!$B$10&amp;", ","")&amp;IF(AND(BD129=1,Skills!$H$20=1),Skills!$B$11&amp;", ","")&amp;IF(AND(BE129=1,Skills!$I$20=1),Skills!$B$12&amp;", ","")&amp;IF(AND(BF129=1,Skills!$J$20=1),Skills!$B$13&amp;", ","")&amp;IF(AND(BG129=1,Skills!$K$20=1),Skills!$B$14&amp;", ","")&amp;IF(AND(BH129=1,Skills!$L$20=1),Skills!$B$15&amp;", ","")&amp;IF(AND(BI129=1,Skills!$M$20=1),Skills!$B$16&amp;", ",""),LEN(IF(AND(AX129=1,Skills!$B$20=1),Skills!$B$5&amp;", ","")&amp;IF(AND(AY129=1,Skills!$C$20=1),Skills!$B$6&amp;", ","")&amp;IF(AND(AZ129=1,Skills!$D$20=1),Skills!$B$7&amp;", ","")&amp;IF(AND(BA129=1,Skills!$E$20=1),Skills!$B$8&amp;", ","")&amp;IF(AND(BB129=1,Skills!$F$20=1),Skills!$B$9&amp;", ","")&amp;IF(AND(BC129=1,Skills!$G$20=1),Skills!$B$10&amp;", ","")&amp;IF(AND(BD129=1,Skills!$H$20=1),Skills!$B$11&amp;", ","")&amp;IF(AND(BE129=1,Skills!$I$20=1),Skills!$B$12&amp;", ","")&amp;IF(AND(BF129=1,Skills!$J$20=1),Skills!$B$13&amp;", ","")&amp;IF(AND(BG129=1,Skills!$K$20=1),Skills!$B$14&amp;", ","")&amp;IF(AND(BH129=1,Skills!$L$20=1),Skills!$B$15&amp;", ","")&amp;IF(AND(BI129=1,Skills!$M$20=1),Skills!$B$16&amp;", ",""))-2)))</f>
        <v/>
      </c>
    </row>
    <row r="130">
      <c r="AD130" s="20" t="n"/>
      <c r="AE130" s="20" t="n"/>
      <c r="AF130" s="20" t="n"/>
      <c r="AG130" s="20" t="n"/>
      <c r="AH130" s="20" t="n"/>
      <c r="AI130" s="20" t="n"/>
      <c r="AJ130" s="20" t="n"/>
      <c r="AK130" s="20" t="n"/>
      <c r="AL130" s="20" t="n"/>
      <c r="AM130" s="20" t="n"/>
      <c r="AN130" s="20" t="n"/>
      <c r="AO130" s="20" t="n"/>
      <c r="AP130" s="20" t="n"/>
      <c r="AR130" s="31">
        <f>IF(IFERROR(TRIM(INDEX($A130:$AB130,MATCH(Lists!$B$5,$A$1:$AB$1,0))&amp;""),"")&lt;&gt;"",IFERROR(TRIM(INDEX($A130:$AB130,MATCH(Lists!$B$5,$A$1:$AB$1,0))&amp;""),""),IFERROR(TRIM(INDEX($A130:$AB130,MATCH(Lists!$B$3,$A$1:$AB$1,0))&amp;""),""))</f>
        <v/>
      </c>
      <c r="AS130" s="31">
        <f>IF(AR130="","",IF(IFERROR(TRIM(INDEX($A130:$AB130,MATCH(Lists!$B$5,$A$1:$AB$1,0))&amp;""),"")&lt;&gt;"","Nominated","Applied"))</f>
        <v/>
      </c>
      <c r="AT130" s="31">
        <f>IF(AR130="","",IF(IFERROR(TRIM(INDEX($A130:$AB130,MATCH(Lists!$B$5,$A$1:$AB$1,0))&amp;""),"")&lt;&gt;"",IFERROR(TRIM(INDEX($A130:$AB130,MATCH(Lists!$B$6,$A$1:$AB$1,0))&amp;""),""),IFERROR(TRIM(INDEX($A130:$AB130,MATCH(Lists!$B$4,$A$1:$AB$1,0))&amp;""),"")))</f>
        <v/>
      </c>
      <c r="AU130" s="31">
        <f>IF(AR130="","",IFERROR(TRIM(INDEX($A130:$AB130,MATCH(Lists!$B$7,$A$1:$AB$1,0))&amp;""),""))</f>
        <v/>
      </c>
      <c r="AV130" s="31">
        <f>IF(AR130="","",IFERROR(TRIM(INDEX($A130:$AB130,MATCH(Lists!$B$9,$A$1:$AB$1,0))&amp;""),""))</f>
        <v/>
      </c>
      <c r="AW130" s="31">
        <f>IF(AR130="","",IFERROR(TRIM(INDEX($A130:$AB130,MATCH(Lists!$B$8,$A$1:$AB$1,0))&amp;""),""))</f>
        <v/>
      </c>
      <c r="AX130" s="23">
        <f>IF(AR130="","",IF(OR(TRIM(AE130&amp;"")&lt;&gt;"",AND(Skills!$B$5&lt;&gt;"",ISNUMBER(SEARCH(Skills!$B$5,AU130)))),1,0))</f>
        <v/>
      </c>
      <c r="AY130" s="23">
        <f>IF(AR130="","",IF(OR(TRIM(AF130&amp;"")&lt;&gt;"",AND(Skills!$B$6&lt;&gt;"",ISNUMBER(SEARCH(Skills!$B$6,AU130)))),1,0))</f>
        <v/>
      </c>
      <c r="AZ130" s="23">
        <f>IF(AR130="","",IF(OR(TRIM(AG130&amp;"")&lt;&gt;"",AND(Skills!$B$7&lt;&gt;"",ISNUMBER(SEARCH(Skills!$B$7,AU130)))),1,0))</f>
        <v/>
      </c>
      <c r="BA130" s="23">
        <f>IF(AR130="","",IF(OR(TRIM(AH130&amp;"")&lt;&gt;"",AND(Skills!$B$8&lt;&gt;"",ISNUMBER(SEARCH(Skills!$B$8,AU130)))),1,0))</f>
        <v/>
      </c>
      <c r="BB130" s="23">
        <f>IF(AR130="","",IF(OR(TRIM(AI130&amp;"")&lt;&gt;"",AND(Skills!$B$9&lt;&gt;"",ISNUMBER(SEARCH(Skills!$B$9,AU130)))),1,0))</f>
        <v/>
      </c>
      <c r="BC130" s="23">
        <f>IF(AR130="","",IF(OR(TRIM(AJ130&amp;"")&lt;&gt;"",AND(Skills!$B$10&lt;&gt;"",ISNUMBER(SEARCH(Skills!$B$10,AU130)))),1,0))</f>
        <v/>
      </c>
      <c r="BD130" s="23">
        <f>IF(AR130="","",IF(OR(TRIM(AK130&amp;"")&lt;&gt;"",AND(Skills!$B$11&lt;&gt;"",ISNUMBER(SEARCH(Skills!$B$11,AU130)))),1,0))</f>
        <v/>
      </c>
      <c r="BE130" s="23">
        <f>IF(AR130="","",IF(OR(TRIM(AL130&amp;"")&lt;&gt;"",AND(Skills!$B$12&lt;&gt;"",ISNUMBER(SEARCH(Skills!$B$12,AU130)))),1,0))</f>
        <v/>
      </c>
      <c r="BF130" s="23">
        <f>IF(AR130="","",IF(OR(TRIM(AM130&amp;"")&lt;&gt;"",AND(Skills!$B$13&lt;&gt;"",ISNUMBER(SEARCH(Skills!$B$13,AU130)))),1,0))</f>
        <v/>
      </c>
      <c r="BG130" s="23">
        <f>IF(AR130="","",IF(OR(TRIM(AN130&amp;"")&lt;&gt;"",AND(Skills!$B$14&lt;&gt;"",ISNUMBER(SEARCH(Skills!$B$14,AU130)))),1,0))</f>
        <v/>
      </c>
      <c r="BH130" s="23">
        <f>IF(AR130="","",IF(OR(TRIM(AO130&amp;"")&lt;&gt;"",AND(Skills!$B$15&lt;&gt;"",ISNUMBER(SEARCH(Skills!$B$15,AU130)))),1,0))</f>
        <v/>
      </c>
      <c r="BI130" s="23">
        <f>IF(AR130="","",IF(OR(TRIM(AP130&amp;"")&lt;&gt;"",AND(Skills!$B$16&lt;&gt;"",ISNUMBER(SEARCH(Skills!$B$16,AU130)))),1,0))</f>
        <v/>
      </c>
      <c r="BJ130" s="23">
        <f>IF(AR130="","",SUMPRODUCT($AX130:$BI130,Skills!$B$20:$M$20))</f>
        <v/>
      </c>
      <c r="BK130" s="23">
        <f>IF(AR130="","",BJ130*100000+(100000-ROW()))</f>
        <v/>
      </c>
      <c r="BL130" s="31">
        <f>IF(AR130="","",IF((IF(AND(AX130=1,Skills!$B$20=1),Skills!$B$5&amp;", ","")&amp;IF(AND(AY130=1,Skills!$C$20=1),Skills!$B$6&amp;", ","")&amp;IF(AND(AZ130=1,Skills!$D$20=1),Skills!$B$7&amp;", ","")&amp;IF(AND(BA130=1,Skills!$E$20=1),Skills!$B$8&amp;", ","")&amp;IF(AND(BB130=1,Skills!$F$20=1),Skills!$B$9&amp;", ","")&amp;IF(AND(BC130=1,Skills!$G$20=1),Skills!$B$10&amp;", ","")&amp;IF(AND(BD130=1,Skills!$H$20=1),Skills!$B$11&amp;", ","")&amp;IF(AND(BE130=1,Skills!$I$20=1),Skills!$B$12&amp;", ","")&amp;IF(AND(BF130=1,Skills!$J$20=1),Skills!$B$13&amp;", ","")&amp;IF(AND(BG130=1,Skills!$K$20=1),Skills!$B$14&amp;", ","")&amp;IF(AND(BH130=1,Skills!$L$20=1),Skills!$B$15&amp;", ","")&amp;IF(AND(BI130=1,Skills!$M$20=1),Skills!$B$16&amp;", ",""))="","",LEFT(IF(AND(AX130=1,Skills!$B$20=1),Skills!$B$5&amp;", ","")&amp;IF(AND(AY130=1,Skills!$C$20=1),Skills!$B$6&amp;", ","")&amp;IF(AND(AZ130=1,Skills!$D$20=1),Skills!$B$7&amp;", ","")&amp;IF(AND(BA130=1,Skills!$E$20=1),Skills!$B$8&amp;", ","")&amp;IF(AND(BB130=1,Skills!$F$20=1),Skills!$B$9&amp;", ","")&amp;IF(AND(BC130=1,Skills!$G$20=1),Skills!$B$10&amp;", ","")&amp;IF(AND(BD130=1,Skills!$H$20=1),Skills!$B$11&amp;", ","")&amp;IF(AND(BE130=1,Skills!$I$20=1),Skills!$B$12&amp;", ","")&amp;IF(AND(BF130=1,Skills!$J$20=1),Skills!$B$13&amp;", ","")&amp;IF(AND(BG130=1,Skills!$K$20=1),Skills!$B$14&amp;", ","")&amp;IF(AND(BH130=1,Skills!$L$20=1),Skills!$B$15&amp;", ","")&amp;IF(AND(BI130=1,Skills!$M$20=1),Skills!$B$16&amp;", ",""),LEN(IF(AND(AX130=1,Skills!$B$20=1),Skills!$B$5&amp;", ","")&amp;IF(AND(AY130=1,Skills!$C$20=1),Skills!$B$6&amp;", ","")&amp;IF(AND(AZ130=1,Skills!$D$20=1),Skills!$B$7&amp;", ","")&amp;IF(AND(BA130=1,Skills!$E$20=1),Skills!$B$8&amp;", ","")&amp;IF(AND(BB130=1,Skills!$F$20=1),Skills!$B$9&amp;", ","")&amp;IF(AND(BC130=1,Skills!$G$20=1),Skills!$B$10&amp;", ","")&amp;IF(AND(BD130=1,Skills!$H$20=1),Skills!$B$11&amp;", ","")&amp;IF(AND(BE130=1,Skills!$I$20=1),Skills!$B$12&amp;", ","")&amp;IF(AND(BF130=1,Skills!$J$20=1),Skills!$B$13&amp;", ","")&amp;IF(AND(BG130=1,Skills!$K$20=1),Skills!$B$14&amp;", ","")&amp;IF(AND(BH130=1,Skills!$L$20=1),Skills!$B$15&amp;", ","")&amp;IF(AND(BI130=1,Skills!$M$20=1),Skills!$B$16&amp;", ",""))-2)))</f>
        <v/>
      </c>
    </row>
    <row r="131">
      <c r="AD131" s="20" t="n"/>
      <c r="AE131" s="20" t="n"/>
      <c r="AF131" s="20" t="n"/>
      <c r="AG131" s="20" t="n"/>
      <c r="AH131" s="20" t="n"/>
      <c r="AI131" s="20" t="n"/>
      <c r="AJ131" s="20" t="n"/>
      <c r="AK131" s="20" t="n"/>
      <c r="AL131" s="20" t="n"/>
      <c r="AM131" s="20" t="n"/>
      <c r="AN131" s="20" t="n"/>
      <c r="AO131" s="20" t="n"/>
      <c r="AP131" s="20" t="n"/>
      <c r="AR131" s="31">
        <f>IF(IFERROR(TRIM(INDEX($A131:$AB131,MATCH(Lists!$B$5,$A$1:$AB$1,0))&amp;""),"")&lt;&gt;"",IFERROR(TRIM(INDEX($A131:$AB131,MATCH(Lists!$B$5,$A$1:$AB$1,0))&amp;""),""),IFERROR(TRIM(INDEX($A131:$AB131,MATCH(Lists!$B$3,$A$1:$AB$1,0))&amp;""),""))</f>
        <v/>
      </c>
      <c r="AS131" s="31">
        <f>IF(AR131="","",IF(IFERROR(TRIM(INDEX($A131:$AB131,MATCH(Lists!$B$5,$A$1:$AB$1,0))&amp;""),"")&lt;&gt;"","Nominated","Applied"))</f>
        <v/>
      </c>
      <c r="AT131" s="31">
        <f>IF(AR131="","",IF(IFERROR(TRIM(INDEX($A131:$AB131,MATCH(Lists!$B$5,$A$1:$AB$1,0))&amp;""),"")&lt;&gt;"",IFERROR(TRIM(INDEX($A131:$AB131,MATCH(Lists!$B$6,$A$1:$AB$1,0))&amp;""),""),IFERROR(TRIM(INDEX($A131:$AB131,MATCH(Lists!$B$4,$A$1:$AB$1,0))&amp;""),"")))</f>
        <v/>
      </c>
      <c r="AU131" s="31">
        <f>IF(AR131="","",IFERROR(TRIM(INDEX($A131:$AB131,MATCH(Lists!$B$7,$A$1:$AB$1,0))&amp;""),""))</f>
        <v/>
      </c>
      <c r="AV131" s="31">
        <f>IF(AR131="","",IFERROR(TRIM(INDEX($A131:$AB131,MATCH(Lists!$B$9,$A$1:$AB$1,0))&amp;""),""))</f>
        <v/>
      </c>
      <c r="AW131" s="31">
        <f>IF(AR131="","",IFERROR(TRIM(INDEX($A131:$AB131,MATCH(Lists!$B$8,$A$1:$AB$1,0))&amp;""),""))</f>
        <v/>
      </c>
      <c r="AX131" s="23">
        <f>IF(AR131="","",IF(OR(TRIM(AE131&amp;"")&lt;&gt;"",AND(Skills!$B$5&lt;&gt;"",ISNUMBER(SEARCH(Skills!$B$5,AU131)))),1,0))</f>
        <v/>
      </c>
      <c r="AY131" s="23">
        <f>IF(AR131="","",IF(OR(TRIM(AF131&amp;"")&lt;&gt;"",AND(Skills!$B$6&lt;&gt;"",ISNUMBER(SEARCH(Skills!$B$6,AU131)))),1,0))</f>
        <v/>
      </c>
      <c r="AZ131" s="23">
        <f>IF(AR131="","",IF(OR(TRIM(AG131&amp;"")&lt;&gt;"",AND(Skills!$B$7&lt;&gt;"",ISNUMBER(SEARCH(Skills!$B$7,AU131)))),1,0))</f>
        <v/>
      </c>
      <c r="BA131" s="23">
        <f>IF(AR131="","",IF(OR(TRIM(AH131&amp;"")&lt;&gt;"",AND(Skills!$B$8&lt;&gt;"",ISNUMBER(SEARCH(Skills!$B$8,AU131)))),1,0))</f>
        <v/>
      </c>
      <c r="BB131" s="23">
        <f>IF(AR131="","",IF(OR(TRIM(AI131&amp;"")&lt;&gt;"",AND(Skills!$B$9&lt;&gt;"",ISNUMBER(SEARCH(Skills!$B$9,AU131)))),1,0))</f>
        <v/>
      </c>
      <c r="BC131" s="23">
        <f>IF(AR131="","",IF(OR(TRIM(AJ131&amp;"")&lt;&gt;"",AND(Skills!$B$10&lt;&gt;"",ISNUMBER(SEARCH(Skills!$B$10,AU131)))),1,0))</f>
        <v/>
      </c>
      <c r="BD131" s="23">
        <f>IF(AR131="","",IF(OR(TRIM(AK131&amp;"")&lt;&gt;"",AND(Skills!$B$11&lt;&gt;"",ISNUMBER(SEARCH(Skills!$B$11,AU131)))),1,0))</f>
        <v/>
      </c>
      <c r="BE131" s="23">
        <f>IF(AR131="","",IF(OR(TRIM(AL131&amp;"")&lt;&gt;"",AND(Skills!$B$12&lt;&gt;"",ISNUMBER(SEARCH(Skills!$B$12,AU131)))),1,0))</f>
        <v/>
      </c>
      <c r="BF131" s="23">
        <f>IF(AR131="","",IF(OR(TRIM(AM131&amp;"")&lt;&gt;"",AND(Skills!$B$13&lt;&gt;"",ISNUMBER(SEARCH(Skills!$B$13,AU131)))),1,0))</f>
        <v/>
      </c>
      <c r="BG131" s="23">
        <f>IF(AR131="","",IF(OR(TRIM(AN131&amp;"")&lt;&gt;"",AND(Skills!$B$14&lt;&gt;"",ISNUMBER(SEARCH(Skills!$B$14,AU131)))),1,0))</f>
        <v/>
      </c>
      <c r="BH131" s="23">
        <f>IF(AR131="","",IF(OR(TRIM(AO131&amp;"")&lt;&gt;"",AND(Skills!$B$15&lt;&gt;"",ISNUMBER(SEARCH(Skills!$B$15,AU131)))),1,0))</f>
        <v/>
      </c>
      <c r="BI131" s="23">
        <f>IF(AR131="","",IF(OR(TRIM(AP131&amp;"")&lt;&gt;"",AND(Skills!$B$16&lt;&gt;"",ISNUMBER(SEARCH(Skills!$B$16,AU131)))),1,0))</f>
        <v/>
      </c>
      <c r="BJ131" s="23">
        <f>IF(AR131="","",SUMPRODUCT($AX131:$BI131,Skills!$B$20:$M$20))</f>
        <v/>
      </c>
      <c r="BK131" s="23">
        <f>IF(AR131="","",BJ131*100000+(100000-ROW()))</f>
        <v/>
      </c>
      <c r="BL131" s="31">
        <f>IF(AR131="","",IF((IF(AND(AX131=1,Skills!$B$20=1),Skills!$B$5&amp;", ","")&amp;IF(AND(AY131=1,Skills!$C$20=1),Skills!$B$6&amp;", ","")&amp;IF(AND(AZ131=1,Skills!$D$20=1),Skills!$B$7&amp;", ","")&amp;IF(AND(BA131=1,Skills!$E$20=1),Skills!$B$8&amp;", ","")&amp;IF(AND(BB131=1,Skills!$F$20=1),Skills!$B$9&amp;", ","")&amp;IF(AND(BC131=1,Skills!$G$20=1),Skills!$B$10&amp;", ","")&amp;IF(AND(BD131=1,Skills!$H$20=1),Skills!$B$11&amp;", ","")&amp;IF(AND(BE131=1,Skills!$I$20=1),Skills!$B$12&amp;", ","")&amp;IF(AND(BF131=1,Skills!$J$20=1),Skills!$B$13&amp;", ","")&amp;IF(AND(BG131=1,Skills!$K$20=1),Skills!$B$14&amp;", ","")&amp;IF(AND(BH131=1,Skills!$L$20=1),Skills!$B$15&amp;", ","")&amp;IF(AND(BI131=1,Skills!$M$20=1),Skills!$B$16&amp;", ",""))="","",LEFT(IF(AND(AX131=1,Skills!$B$20=1),Skills!$B$5&amp;", ","")&amp;IF(AND(AY131=1,Skills!$C$20=1),Skills!$B$6&amp;", ","")&amp;IF(AND(AZ131=1,Skills!$D$20=1),Skills!$B$7&amp;", ","")&amp;IF(AND(BA131=1,Skills!$E$20=1),Skills!$B$8&amp;", ","")&amp;IF(AND(BB131=1,Skills!$F$20=1),Skills!$B$9&amp;", ","")&amp;IF(AND(BC131=1,Skills!$G$20=1),Skills!$B$10&amp;", ","")&amp;IF(AND(BD131=1,Skills!$H$20=1),Skills!$B$11&amp;", ","")&amp;IF(AND(BE131=1,Skills!$I$20=1),Skills!$B$12&amp;", ","")&amp;IF(AND(BF131=1,Skills!$J$20=1),Skills!$B$13&amp;", ","")&amp;IF(AND(BG131=1,Skills!$K$20=1),Skills!$B$14&amp;", ","")&amp;IF(AND(BH131=1,Skills!$L$20=1),Skills!$B$15&amp;", ","")&amp;IF(AND(BI131=1,Skills!$M$20=1),Skills!$B$16&amp;", ",""),LEN(IF(AND(AX131=1,Skills!$B$20=1),Skills!$B$5&amp;", ","")&amp;IF(AND(AY131=1,Skills!$C$20=1),Skills!$B$6&amp;", ","")&amp;IF(AND(AZ131=1,Skills!$D$20=1),Skills!$B$7&amp;", ","")&amp;IF(AND(BA131=1,Skills!$E$20=1),Skills!$B$8&amp;", ","")&amp;IF(AND(BB131=1,Skills!$F$20=1),Skills!$B$9&amp;", ","")&amp;IF(AND(BC131=1,Skills!$G$20=1),Skills!$B$10&amp;", ","")&amp;IF(AND(BD131=1,Skills!$H$20=1),Skills!$B$11&amp;", ","")&amp;IF(AND(BE131=1,Skills!$I$20=1),Skills!$B$12&amp;", ","")&amp;IF(AND(BF131=1,Skills!$J$20=1),Skills!$B$13&amp;", ","")&amp;IF(AND(BG131=1,Skills!$K$20=1),Skills!$B$14&amp;", ","")&amp;IF(AND(BH131=1,Skills!$L$20=1),Skills!$B$15&amp;", ","")&amp;IF(AND(BI131=1,Skills!$M$20=1),Skills!$B$16&amp;", ",""))-2)))</f>
        <v/>
      </c>
    </row>
    <row r="132">
      <c r="AD132" s="20" t="n"/>
      <c r="AE132" s="20" t="n"/>
      <c r="AF132" s="20" t="n"/>
      <c r="AG132" s="20" t="n"/>
      <c r="AH132" s="20" t="n"/>
      <c r="AI132" s="20" t="n"/>
      <c r="AJ132" s="20" t="n"/>
      <c r="AK132" s="20" t="n"/>
      <c r="AL132" s="20" t="n"/>
      <c r="AM132" s="20" t="n"/>
      <c r="AN132" s="20" t="n"/>
      <c r="AO132" s="20" t="n"/>
      <c r="AP132" s="20" t="n"/>
      <c r="AR132" s="31">
        <f>IF(IFERROR(TRIM(INDEX($A132:$AB132,MATCH(Lists!$B$5,$A$1:$AB$1,0))&amp;""),"")&lt;&gt;"",IFERROR(TRIM(INDEX($A132:$AB132,MATCH(Lists!$B$5,$A$1:$AB$1,0))&amp;""),""),IFERROR(TRIM(INDEX($A132:$AB132,MATCH(Lists!$B$3,$A$1:$AB$1,0))&amp;""),""))</f>
        <v/>
      </c>
      <c r="AS132" s="31">
        <f>IF(AR132="","",IF(IFERROR(TRIM(INDEX($A132:$AB132,MATCH(Lists!$B$5,$A$1:$AB$1,0))&amp;""),"")&lt;&gt;"","Nominated","Applied"))</f>
        <v/>
      </c>
      <c r="AT132" s="31">
        <f>IF(AR132="","",IF(IFERROR(TRIM(INDEX($A132:$AB132,MATCH(Lists!$B$5,$A$1:$AB$1,0))&amp;""),"")&lt;&gt;"",IFERROR(TRIM(INDEX($A132:$AB132,MATCH(Lists!$B$6,$A$1:$AB$1,0))&amp;""),""),IFERROR(TRIM(INDEX($A132:$AB132,MATCH(Lists!$B$4,$A$1:$AB$1,0))&amp;""),"")))</f>
        <v/>
      </c>
      <c r="AU132" s="31">
        <f>IF(AR132="","",IFERROR(TRIM(INDEX($A132:$AB132,MATCH(Lists!$B$7,$A$1:$AB$1,0))&amp;""),""))</f>
        <v/>
      </c>
      <c r="AV132" s="31">
        <f>IF(AR132="","",IFERROR(TRIM(INDEX($A132:$AB132,MATCH(Lists!$B$9,$A$1:$AB$1,0))&amp;""),""))</f>
        <v/>
      </c>
      <c r="AW132" s="31">
        <f>IF(AR132="","",IFERROR(TRIM(INDEX($A132:$AB132,MATCH(Lists!$B$8,$A$1:$AB$1,0))&amp;""),""))</f>
        <v/>
      </c>
      <c r="AX132" s="23">
        <f>IF(AR132="","",IF(OR(TRIM(AE132&amp;"")&lt;&gt;"",AND(Skills!$B$5&lt;&gt;"",ISNUMBER(SEARCH(Skills!$B$5,AU132)))),1,0))</f>
        <v/>
      </c>
      <c r="AY132" s="23">
        <f>IF(AR132="","",IF(OR(TRIM(AF132&amp;"")&lt;&gt;"",AND(Skills!$B$6&lt;&gt;"",ISNUMBER(SEARCH(Skills!$B$6,AU132)))),1,0))</f>
        <v/>
      </c>
      <c r="AZ132" s="23">
        <f>IF(AR132="","",IF(OR(TRIM(AG132&amp;"")&lt;&gt;"",AND(Skills!$B$7&lt;&gt;"",ISNUMBER(SEARCH(Skills!$B$7,AU132)))),1,0))</f>
        <v/>
      </c>
      <c r="BA132" s="23">
        <f>IF(AR132="","",IF(OR(TRIM(AH132&amp;"")&lt;&gt;"",AND(Skills!$B$8&lt;&gt;"",ISNUMBER(SEARCH(Skills!$B$8,AU132)))),1,0))</f>
        <v/>
      </c>
      <c r="BB132" s="23">
        <f>IF(AR132="","",IF(OR(TRIM(AI132&amp;"")&lt;&gt;"",AND(Skills!$B$9&lt;&gt;"",ISNUMBER(SEARCH(Skills!$B$9,AU132)))),1,0))</f>
        <v/>
      </c>
      <c r="BC132" s="23">
        <f>IF(AR132="","",IF(OR(TRIM(AJ132&amp;"")&lt;&gt;"",AND(Skills!$B$10&lt;&gt;"",ISNUMBER(SEARCH(Skills!$B$10,AU132)))),1,0))</f>
        <v/>
      </c>
      <c r="BD132" s="23">
        <f>IF(AR132="","",IF(OR(TRIM(AK132&amp;"")&lt;&gt;"",AND(Skills!$B$11&lt;&gt;"",ISNUMBER(SEARCH(Skills!$B$11,AU132)))),1,0))</f>
        <v/>
      </c>
      <c r="BE132" s="23">
        <f>IF(AR132="","",IF(OR(TRIM(AL132&amp;"")&lt;&gt;"",AND(Skills!$B$12&lt;&gt;"",ISNUMBER(SEARCH(Skills!$B$12,AU132)))),1,0))</f>
        <v/>
      </c>
      <c r="BF132" s="23">
        <f>IF(AR132="","",IF(OR(TRIM(AM132&amp;"")&lt;&gt;"",AND(Skills!$B$13&lt;&gt;"",ISNUMBER(SEARCH(Skills!$B$13,AU132)))),1,0))</f>
        <v/>
      </c>
      <c r="BG132" s="23">
        <f>IF(AR132="","",IF(OR(TRIM(AN132&amp;"")&lt;&gt;"",AND(Skills!$B$14&lt;&gt;"",ISNUMBER(SEARCH(Skills!$B$14,AU132)))),1,0))</f>
        <v/>
      </c>
      <c r="BH132" s="23">
        <f>IF(AR132="","",IF(OR(TRIM(AO132&amp;"")&lt;&gt;"",AND(Skills!$B$15&lt;&gt;"",ISNUMBER(SEARCH(Skills!$B$15,AU132)))),1,0))</f>
        <v/>
      </c>
      <c r="BI132" s="23">
        <f>IF(AR132="","",IF(OR(TRIM(AP132&amp;"")&lt;&gt;"",AND(Skills!$B$16&lt;&gt;"",ISNUMBER(SEARCH(Skills!$B$16,AU132)))),1,0))</f>
        <v/>
      </c>
      <c r="BJ132" s="23">
        <f>IF(AR132="","",SUMPRODUCT($AX132:$BI132,Skills!$B$20:$M$20))</f>
        <v/>
      </c>
      <c r="BK132" s="23">
        <f>IF(AR132="","",BJ132*100000+(100000-ROW()))</f>
        <v/>
      </c>
      <c r="BL132" s="31">
        <f>IF(AR132="","",IF((IF(AND(AX132=1,Skills!$B$20=1),Skills!$B$5&amp;", ","")&amp;IF(AND(AY132=1,Skills!$C$20=1),Skills!$B$6&amp;", ","")&amp;IF(AND(AZ132=1,Skills!$D$20=1),Skills!$B$7&amp;", ","")&amp;IF(AND(BA132=1,Skills!$E$20=1),Skills!$B$8&amp;", ","")&amp;IF(AND(BB132=1,Skills!$F$20=1),Skills!$B$9&amp;", ","")&amp;IF(AND(BC132=1,Skills!$G$20=1),Skills!$B$10&amp;", ","")&amp;IF(AND(BD132=1,Skills!$H$20=1),Skills!$B$11&amp;", ","")&amp;IF(AND(BE132=1,Skills!$I$20=1),Skills!$B$12&amp;", ","")&amp;IF(AND(BF132=1,Skills!$J$20=1),Skills!$B$13&amp;", ","")&amp;IF(AND(BG132=1,Skills!$K$20=1),Skills!$B$14&amp;", ","")&amp;IF(AND(BH132=1,Skills!$L$20=1),Skills!$B$15&amp;", ","")&amp;IF(AND(BI132=1,Skills!$M$20=1),Skills!$B$16&amp;", ",""))="","",LEFT(IF(AND(AX132=1,Skills!$B$20=1),Skills!$B$5&amp;", ","")&amp;IF(AND(AY132=1,Skills!$C$20=1),Skills!$B$6&amp;", ","")&amp;IF(AND(AZ132=1,Skills!$D$20=1),Skills!$B$7&amp;", ","")&amp;IF(AND(BA132=1,Skills!$E$20=1),Skills!$B$8&amp;", ","")&amp;IF(AND(BB132=1,Skills!$F$20=1),Skills!$B$9&amp;", ","")&amp;IF(AND(BC132=1,Skills!$G$20=1),Skills!$B$10&amp;", ","")&amp;IF(AND(BD132=1,Skills!$H$20=1),Skills!$B$11&amp;", ","")&amp;IF(AND(BE132=1,Skills!$I$20=1),Skills!$B$12&amp;", ","")&amp;IF(AND(BF132=1,Skills!$J$20=1),Skills!$B$13&amp;", ","")&amp;IF(AND(BG132=1,Skills!$K$20=1),Skills!$B$14&amp;", ","")&amp;IF(AND(BH132=1,Skills!$L$20=1),Skills!$B$15&amp;", ","")&amp;IF(AND(BI132=1,Skills!$M$20=1),Skills!$B$16&amp;", ",""),LEN(IF(AND(AX132=1,Skills!$B$20=1),Skills!$B$5&amp;", ","")&amp;IF(AND(AY132=1,Skills!$C$20=1),Skills!$B$6&amp;", ","")&amp;IF(AND(AZ132=1,Skills!$D$20=1),Skills!$B$7&amp;", ","")&amp;IF(AND(BA132=1,Skills!$E$20=1),Skills!$B$8&amp;", ","")&amp;IF(AND(BB132=1,Skills!$F$20=1),Skills!$B$9&amp;", ","")&amp;IF(AND(BC132=1,Skills!$G$20=1),Skills!$B$10&amp;", ","")&amp;IF(AND(BD132=1,Skills!$H$20=1),Skills!$B$11&amp;", ","")&amp;IF(AND(BE132=1,Skills!$I$20=1),Skills!$B$12&amp;", ","")&amp;IF(AND(BF132=1,Skills!$J$20=1),Skills!$B$13&amp;", ","")&amp;IF(AND(BG132=1,Skills!$K$20=1),Skills!$B$14&amp;", ","")&amp;IF(AND(BH132=1,Skills!$L$20=1),Skills!$B$15&amp;", ","")&amp;IF(AND(BI132=1,Skills!$M$20=1),Skills!$B$16&amp;", ",""))-2)))</f>
        <v/>
      </c>
    </row>
    <row r="133">
      <c r="AD133" s="20" t="n"/>
      <c r="AE133" s="20" t="n"/>
      <c r="AF133" s="20" t="n"/>
      <c r="AG133" s="20" t="n"/>
      <c r="AH133" s="20" t="n"/>
      <c r="AI133" s="20" t="n"/>
      <c r="AJ133" s="20" t="n"/>
      <c r="AK133" s="20" t="n"/>
      <c r="AL133" s="20" t="n"/>
      <c r="AM133" s="20" t="n"/>
      <c r="AN133" s="20" t="n"/>
      <c r="AO133" s="20" t="n"/>
      <c r="AP133" s="20" t="n"/>
      <c r="AR133" s="31">
        <f>IF(IFERROR(TRIM(INDEX($A133:$AB133,MATCH(Lists!$B$5,$A$1:$AB$1,0))&amp;""),"")&lt;&gt;"",IFERROR(TRIM(INDEX($A133:$AB133,MATCH(Lists!$B$5,$A$1:$AB$1,0))&amp;""),""),IFERROR(TRIM(INDEX($A133:$AB133,MATCH(Lists!$B$3,$A$1:$AB$1,0))&amp;""),""))</f>
        <v/>
      </c>
      <c r="AS133" s="31">
        <f>IF(AR133="","",IF(IFERROR(TRIM(INDEX($A133:$AB133,MATCH(Lists!$B$5,$A$1:$AB$1,0))&amp;""),"")&lt;&gt;"","Nominated","Applied"))</f>
        <v/>
      </c>
      <c r="AT133" s="31">
        <f>IF(AR133="","",IF(IFERROR(TRIM(INDEX($A133:$AB133,MATCH(Lists!$B$5,$A$1:$AB$1,0))&amp;""),"")&lt;&gt;"",IFERROR(TRIM(INDEX($A133:$AB133,MATCH(Lists!$B$6,$A$1:$AB$1,0))&amp;""),""),IFERROR(TRIM(INDEX($A133:$AB133,MATCH(Lists!$B$4,$A$1:$AB$1,0))&amp;""),"")))</f>
        <v/>
      </c>
      <c r="AU133" s="31">
        <f>IF(AR133="","",IFERROR(TRIM(INDEX($A133:$AB133,MATCH(Lists!$B$7,$A$1:$AB$1,0))&amp;""),""))</f>
        <v/>
      </c>
      <c r="AV133" s="31">
        <f>IF(AR133="","",IFERROR(TRIM(INDEX($A133:$AB133,MATCH(Lists!$B$9,$A$1:$AB$1,0))&amp;""),""))</f>
        <v/>
      </c>
      <c r="AW133" s="31">
        <f>IF(AR133="","",IFERROR(TRIM(INDEX($A133:$AB133,MATCH(Lists!$B$8,$A$1:$AB$1,0))&amp;""),""))</f>
        <v/>
      </c>
      <c r="AX133" s="23">
        <f>IF(AR133="","",IF(OR(TRIM(AE133&amp;"")&lt;&gt;"",AND(Skills!$B$5&lt;&gt;"",ISNUMBER(SEARCH(Skills!$B$5,AU133)))),1,0))</f>
        <v/>
      </c>
      <c r="AY133" s="23">
        <f>IF(AR133="","",IF(OR(TRIM(AF133&amp;"")&lt;&gt;"",AND(Skills!$B$6&lt;&gt;"",ISNUMBER(SEARCH(Skills!$B$6,AU133)))),1,0))</f>
        <v/>
      </c>
      <c r="AZ133" s="23">
        <f>IF(AR133="","",IF(OR(TRIM(AG133&amp;"")&lt;&gt;"",AND(Skills!$B$7&lt;&gt;"",ISNUMBER(SEARCH(Skills!$B$7,AU133)))),1,0))</f>
        <v/>
      </c>
      <c r="BA133" s="23">
        <f>IF(AR133="","",IF(OR(TRIM(AH133&amp;"")&lt;&gt;"",AND(Skills!$B$8&lt;&gt;"",ISNUMBER(SEARCH(Skills!$B$8,AU133)))),1,0))</f>
        <v/>
      </c>
      <c r="BB133" s="23">
        <f>IF(AR133="","",IF(OR(TRIM(AI133&amp;"")&lt;&gt;"",AND(Skills!$B$9&lt;&gt;"",ISNUMBER(SEARCH(Skills!$B$9,AU133)))),1,0))</f>
        <v/>
      </c>
      <c r="BC133" s="23">
        <f>IF(AR133="","",IF(OR(TRIM(AJ133&amp;"")&lt;&gt;"",AND(Skills!$B$10&lt;&gt;"",ISNUMBER(SEARCH(Skills!$B$10,AU133)))),1,0))</f>
        <v/>
      </c>
      <c r="BD133" s="23">
        <f>IF(AR133="","",IF(OR(TRIM(AK133&amp;"")&lt;&gt;"",AND(Skills!$B$11&lt;&gt;"",ISNUMBER(SEARCH(Skills!$B$11,AU133)))),1,0))</f>
        <v/>
      </c>
      <c r="BE133" s="23">
        <f>IF(AR133="","",IF(OR(TRIM(AL133&amp;"")&lt;&gt;"",AND(Skills!$B$12&lt;&gt;"",ISNUMBER(SEARCH(Skills!$B$12,AU133)))),1,0))</f>
        <v/>
      </c>
      <c r="BF133" s="23">
        <f>IF(AR133="","",IF(OR(TRIM(AM133&amp;"")&lt;&gt;"",AND(Skills!$B$13&lt;&gt;"",ISNUMBER(SEARCH(Skills!$B$13,AU133)))),1,0))</f>
        <v/>
      </c>
      <c r="BG133" s="23">
        <f>IF(AR133="","",IF(OR(TRIM(AN133&amp;"")&lt;&gt;"",AND(Skills!$B$14&lt;&gt;"",ISNUMBER(SEARCH(Skills!$B$14,AU133)))),1,0))</f>
        <v/>
      </c>
      <c r="BH133" s="23">
        <f>IF(AR133="","",IF(OR(TRIM(AO133&amp;"")&lt;&gt;"",AND(Skills!$B$15&lt;&gt;"",ISNUMBER(SEARCH(Skills!$B$15,AU133)))),1,0))</f>
        <v/>
      </c>
      <c r="BI133" s="23">
        <f>IF(AR133="","",IF(OR(TRIM(AP133&amp;"")&lt;&gt;"",AND(Skills!$B$16&lt;&gt;"",ISNUMBER(SEARCH(Skills!$B$16,AU133)))),1,0))</f>
        <v/>
      </c>
      <c r="BJ133" s="23">
        <f>IF(AR133="","",SUMPRODUCT($AX133:$BI133,Skills!$B$20:$M$20))</f>
        <v/>
      </c>
      <c r="BK133" s="23">
        <f>IF(AR133="","",BJ133*100000+(100000-ROW()))</f>
        <v/>
      </c>
      <c r="BL133" s="31">
        <f>IF(AR133="","",IF((IF(AND(AX133=1,Skills!$B$20=1),Skills!$B$5&amp;", ","")&amp;IF(AND(AY133=1,Skills!$C$20=1),Skills!$B$6&amp;", ","")&amp;IF(AND(AZ133=1,Skills!$D$20=1),Skills!$B$7&amp;", ","")&amp;IF(AND(BA133=1,Skills!$E$20=1),Skills!$B$8&amp;", ","")&amp;IF(AND(BB133=1,Skills!$F$20=1),Skills!$B$9&amp;", ","")&amp;IF(AND(BC133=1,Skills!$G$20=1),Skills!$B$10&amp;", ","")&amp;IF(AND(BD133=1,Skills!$H$20=1),Skills!$B$11&amp;", ","")&amp;IF(AND(BE133=1,Skills!$I$20=1),Skills!$B$12&amp;", ","")&amp;IF(AND(BF133=1,Skills!$J$20=1),Skills!$B$13&amp;", ","")&amp;IF(AND(BG133=1,Skills!$K$20=1),Skills!$B$14&amp;", ","")&amp;IF(AND(BH133=1,Skills!$L$20=1),Skills!$B$15&amp;", ","")&amp;IF(AND(BI133=1,Skills!$M$20=1),Skills!$B$16&amp;", ",""))="","",LEFT(IF(AND(AX133=1,Skills!$B$20=1),Skills!$B$5&amp;", ","")&amp;IF(AND(AY133=1,Skills!$C$20=1),Skills!$B$6&amp;", ","")&amp;IF(AND(AZ133=1,Skills!$D$20=1),Skills!$B$7&amp;", ","")&amp;IF(AND(BA133=1,Skills!$E$20=1),Skills!$B$8&amp;", ","")&amp;IF(AND(BB133=1,Skills!$F$20=1),Skills!$B$9&amp;", ","")&amp;IF(AND(BC133=1,Skills!$G$20=1),Skills!$B$10&amp;", ","")&amp;IF(AND(BD133=1,Skills!$H$20=1),Skills!$B$11&amp;", ","")&amp;IF(AND(BE133=1,Skills!$I$20=1),Skills!$B$12&amp;", ","")&amp;IF(AND(BF133=1,Skills!$J$20=1),Skills!$B$13&amp;", ","")&amp;IF(AND(BG133=1,Skills!$K$20=1),Skills!$B$14&amp;", ","")&amp;IF(AND(BH133=1,Skills!$L$20=1),Skills!$B$15&amp;", ","")&amp;IF(AND(BI133=1,Skills!$M$20=1),Skills!$B$16&amp;", ",""),LEN(IF(AND(AX133=1,Skills!$B$20=1),Skills!$B$5&amp;", ","")&amp;IF(AND(AY133=1,Skills!$C$20=1),Skills!$B$6&amp;", ","")&amp;IF(AND(AZ133=1,Skills!$D$20=1),Skills!$B$7&amp;", ","")&amp;IF(AND(BA133=1,Skills!$E$20=1),Skills!$B$8&amp;", ","")&amp;IF(AND(BB133=1,Skills!$F$20=1),Skills!$B$9&amp;", ","")&amp;IF(AND(BC133=1,Skills!$G$20=1),Skills!$B$10&amp;", ","")&amp;IF(AND(BD133=1,Skills!$H$20=1),Skills!$B$11&amp;", ","")&amp;IF(AND(BE133=1,Skills!$I$20=1),Skills!$B$12&amp;", ","")&amp;IF(AND(BF133=1,Skills!$J$20=1),Skills!$B$13&amp;", ","")&amp;IF(AND(BG133=1,Skills!$K$20=1),Skills!$B$14&amp;", ","")&amp;IF(AND(BH133=1,Skills!$L$20=1),Skills!$B$15&amp;", ","")&amp;IF(AND(BI133=1,Skills!$M$20=1),Skills!$B$16&amp;", ",""))-2)))</f>
        <v/>
      </c>
    </row>
    <row r="134">
      <c r="AD134" s="20" t="n"/>
      <c r="AE134" s="20" t="n"/>
      <c r="AF134" s="20" t="n"/>
      <c r="AG134" s="20" t="n"/>
      <c r="AH134" s="20" t="n"/>
      <c r="AI134" s="20" t="n"/>
      <c r="AJ134" s="20" t="n"/>
      <c r="AK134" s="20" t="n"/>
      <c r="AL134" s="20" t="n"/>
      <c r="AM134" s="20" t="n"/>
      <c r="AN134" s="20" t="n"/>
      <c r="AO134" s="20" t="n"/>
      <c r="AP134" s="20" t="n"/>
      <c r="AR134" s="31">
        <f>IF(IFERROR(TRIM(INDEX($A134:$AB134,MATCH(Lists!$B$5,$A$1:$AB$1,0))&amp;""),"")&lt;&gt;"",IFERROR(TRIM(INDEX($A134:$AB134,MATCH(Lists!$B$5,$A$1:$AB$1,0))&amp;""),""),IFERROR(TRIM(INDEX($A134:$AB134,MATCH(Lists!$B$3,$A$1:$AB$1,0))&amp;""),""))</f>
        <v/>
      </c>
      <c r="AS134" s="31">
        <f>IF(AR134="","",IF(IFERROR(TRIM(INDEX($A134:$AB134,MATCH(Lists!$B$5,$A$1:$AB$1,0))&amp;""),"")&lt;&gt;"","Nominated","Applied"))</f>
        <v/>
      </c>
      <c r="AT134" s="31">
        <f>IF(AR134="","",IF(IFERROR(TRIM(INDEX($A134:$AB134,MATCH(Lists!$B$5,$A$1:$AB$1,0))&amp;""),"")&lt;&gt;"",IFERROR(TRIM(INDEX($A134:$AB134,MATCH(Lists!$B$6,$A$1:$AB$1,0))&amp;""),""),IFERROR(TRIM(INDEX($A134:$AB134,MATCH(Lists!$B$4,$A$1:$AB$1,0))&amp;""),"")))</f>
        <v/>
      </c>
      <c r="AU134" s="31">
        <f>IF(AR134="","",IFERROR(TRIM(INDEX($A134:$AB134,MATCH(Lists!$B$7,$A$1:$AB$1,0))&amp;""),""))</f>
        <v/>
      </c>
      <c r="AV134" s="31">
        <f>IF(AR134="","",IFERROR(TRIM(INDEX($A134:$AB134,MATCH(Lists!$B$9,$A$1:$AB$1,0))&amp;""),""))</f>
        <v/>
      </c>
      <c r="AW134" s="31">
        <f>IF(AR134="","",IFERROR(TRIM(INDEX($A134:$AB134,MATCH(Lists!$B$8,$A$1:$AB$1,0))&amp;""),""))</f>
        <v/>
      </c>
      <c r="AX134" s="23">
        <f>IF(AR134="","",IF(OR(TRIM(AE134&amp;"")&lt;&gt;"",AND(Skills!$B$5&lt;&gt;"",ISNUMBER(SEARCH(Skills!$B$5,AU134)))),1,0))</f>
        <v/>
      </c>
      <c r="AY134" s="23">
        <f>IF(AR134="","",IF(OR(TRIM(AF134&amp;"")&lt;&gt;"",AND(Skills!$B$6&lt;&gt;"",ISNUMBER(SEARCH(Skills!$B$6,AU134)))),1,0))</f>
        <v/>
      </c>
      <c r="AZ134" s="23">
        <f>IF(AR134="","",IF(OR(TRIM(AG134&amp;"")&lt;&gt;"",AND(Skills!$B$7&lt;&gt;"",ISNUMBER(SEARCH(Skills!$B$7,AU134)))),1,0))</f>
        <v/>
      </c>
      <c r="BA134" s="23">
        <f>IF(AR134="","",IF(OR(TRIM(AH134&amp;"")&lt;&gt;"",AND(Skills!$B$8&lt;&gt;"",ISNUMBER(SEARCH(Skills!$B$8,AU134)))),1,0))</f>
        <v/>
      </c>
      <c r="BB134" s="23">
        <f>IF(AR134="","",IF(OR(TRIM(AI134&amp;"")&lt;&gt;"",AND(Skills!$B$9&lt;&gt;"",ISNUMBER(SEARCH(Skills!$B$9,AU134)))),1,0))</f>
        <v/>
      </c>
      <c r="BC134" s="23">
        <f>IF(AR134="","",IF(OR(TRIM(AJ134&amp;"")&lt;&gt;"",AND(Skills!$B$10&lt;&gt;"",ISNUMBER(SEARCH(Skills!$B$10,AU134)))),1,0))</f>
        <v/>
      </c>
      <c r="BD134" s="23">
        <f>IF(AR134="","",IF(OR(TRIM(AK134&amp;"")&lt;&gt;"",AND(Skills!$B$11&lt;&gt;"",ISNUMBER(SEARCH(Skills!$B$11,AU134)))),1,0))</f>
        <v/>
      </c>
      <c r="BE134" s="23">
        <f>IF(AR134="","",IF(OR(TRIM(AL134&amp;"")&lt;&gt;"",AND(Skills!$B$12&lt;&gt;"",ISNUMBER(SEARCH(Skills!$B$12,AU134)))),1,0))</f>
        <v/>
      </c>
      <c r="BF134" s="23">
        <f>IF(AR134="","",IF(OR(TRIM(AM134&amp;"")&lt;&gt;"",AND(Skills!$B$13&lt;&gt;"",ISNUMBER(SEARCH(Skills!$B$13,AU134)))),1,0))</f>
        <v/>
      </c>
      <c r="BG134" s="23">
        <f>IF(AR134="","",IF(OR(TRIM(AN134&amp;"")&lt;&gt;"",AND(Skills!$B$14&lt;&gt;"",ISNUMBER(SEARCH(Skills!$B$14,AU134)))),1,0))</f>
        <v/>
      </c>
      <c r="BH134" s="23">
        <f>IF(AR134="","",IF(OR(TRIM(AO134&amp;"")&lt;&gt;"",AND(Skills!$B$15&lt;&gt;"",ISNUMBER(SEARCH(Skills!$B$15,AU134)))),1,0))</f>
        <v/>
      </c>
      <c r="BI134" s="23">
        <f>IF(AR134="","",IF(OR(TRIM(AP134&amp;"")&lt;&gt;"",AND(Skills!$B$16&lt;&gt;"",ISNUMBER(SEARCH(Skills!$B$16,AU134)))),1,0))</f>
        <v/>
      </c>
      <c r="BJ134" s="23">
        <f>IF(AR134="","",SUMPRODUCT($AX134:$BI134,Skills!$B$20:$M$20))</f>
        <v/>
      </c>
      <c r="BK134" s="23">
        <f>IF(AR134="","",BJ134*100000+(100000-ROW()))</f>
        <v/>
      </c>
      <c r="BL134" s="31">
        <f>IF(AR134="","",IF((IF(AND(AX134=1,Skills!$B$20=1),Skills!$B$5&amp;", ","")&amp;IF(AND(AY134=1,Skills!$C$20=1),Skills!$B$6&amp;", ","")&amp;IF(AND(AZ134=1,Skills!$D$20=1),Skills!$B$7&amp;", ","")&amp;IF(AND(BA134=1,Skills!$E$20=1),Skills!$B$8&amp;", ","")&amp;IF(AND(BB134=1,Skills!$F$20=1),Skills!$B$9&amp;", ","")&amp;IF(AND(BC134=1,Skills!$G$20=1),Skills!$B$10&amp;", ","")&amp;IF(AND(BD134=1,Skills!$H$20=1),Skills!$B$11&amp;", ","")&amp;IF(AND(BE134=1,Skills!$I$20=1),Skills!$B$12&amp;", ","")&amp;IF(AND(BF134=1,Skills!$J$20=1),Skills!$B$13&amp;", ","")&amp;IF(AND(BG134=1,Skills!$K$20=1),Skills!$B$14&amp;", ","")&amp;IF(AND(BH134=1,Skills!$L$20=1),Skills!$B$15&amp;", ","")&amp;IF(AND(BI134=1,Skills!$M$20=1),Skills!$B$16&amp;", ",""))="","",LEFT(IF(AND(AX134=1,Skills!$B$20=1),Skills!$B$5&amp;", ","")&amp;IF(AND(AY134=1,Skills!$C$20=1),Skills!$B$6&amp;", ","")&amp;IF(AND(AZ134=1,Skills!$D$20=1),Skills!$B$7&amp;", ","")&amp;IF(AND(BA134=1,Skills!$E$20=1),Skills!$B$8&amp;", ","")&amp;IF(AND(BB134=1,Skills!$F$20=1),Skills!$B$9&amp;", ","")&amp;IF(AND(BC134=1,Skills!$G$20=1),Skills!$B$10&amp;", ","")&amp;IF(AND(BD134=1,Skills!$H$20=1),Skills!$B$11&amp;", ","")&amp;IF(AND(BE134=1,Skills!$I$20=1),Skills!$B$12&amp;", ","")&amp;IF(AND(BF134=1,Skills!$J$20=1),Skills!$B$13&amp;", ","")&amp;IF(AND(BG134=1,Skills!$K$20=1),Skills!$B$14&amp;", ","")&amp;IF(AND(BH134=1,Skills!$L$20=1),Skills!$B$15&amp;", ","")&amp;IF(AND(BI134=1,Skills!$M$20=1),Skills!$B$16&amp;", ",""),LEN(IF(AND(AX134=1,Skills!$B$20=1),Skills!$B$5&amp;", ","")&amp;IF(AND(AY134=1,Skills!$C$20=1),Skills!$B$6&amp;", ","")&amp;IF(AND(AZ134=1,Skills!$D$20=1),Skills!$B$7&amp;", ","")&amp;IF(AND(BA134=1,Skills!$E$20=1),Skills!$B$8&amp;", ","")&amp;IF(AND(BB134=1,Skills!$F$20=1),Skills!$B$9&amp;", ","")&amp;IF(AND(BC134=1,Skills!$G$20=1),Skills!$B$10&amp;", ","")&amp;IF(AND(BD134=1,Skills!$H$20=1),Skills!$B$11&amp;", ","")&amp;IF(AND(BE134=1,Skills!$I$20=1),Skills!$B$12&amp;", ","")&amp;IF(AND(BF134=1,Skills!$J$20=1),Skills!$B$13&amp;", ","")&amp;IF(AND(BG134=1,Skills!$K$20=1),Skills!$B$14&amp;", ","")&amp;IF(AND(BH134=1,Skills!$L$20=1),Skills!$B$15&amp;", ","")&amp;IF(AND(BI134=1,Skills!$M$20=1),Skills!$B$16&amp;", ",""))-2)))</f>
        <v/>
      </c>
    </row>
    <row r="135">
      <c r="AD135" s="20" t="n"/>
      <c r="AE135" s="20" t="n"/>
      <c r="AF135" s="20" t="n"/>
      <c r="AG135" s="20" t="n"/>
      <c r="AH135" s="20" t="n"/>
      <c r="AI135" s="20" t="n"/>
      <c r="AJ135" s="20" t="n"/>
      <c r="AK135" s="20" t="n"/>
      <c r="AL135" s="20" t="n"/>
      <c r="AM135" s="20" t="n"/>
      <c r="AN135" s="20" t="n"/>
      <c r="AO135" s="20" t="n"/>
      <c r="AP135" s="20" t="n"/>
      <c r="AR135" s="31">
        <f>IF(IFERROR(TRIM(INDEX($A135:$AB135,MATCH(Lists!$B$5,$A$1:$AB$1,0))&amp;""),"")&lt;&gt;"",IFERROR(TRIM(INDEX($A135:$AB135,MATCH(Lists!$B$5,$A$1:$AB$1,0))&amp;""),""),IFERROR(TRIM(INDEX($A135:$AB135,MATCH(Lists!$B$3,$A$1:$AB$1,0))&amp;""),""))</f>
        <v/>
      </c>
      <c r="AS135" s="31">
        <f>IF(AR135="","",IF(IFERROR(TRIM(INDEX($A135:$AB135,MATCH(Lists!$B$5,$A$1:$AB$1,0))&amp;""),"")&lt;&gt;"","Nominated","Applied"))</f>
        <v/>
      </c>
      <c r="AT135" s="31">
        <f>IF(AR135="","",IF(IFERROR(TRIM(INDEX($A135:$AB135,MATCH(Lists!$B$5,$A$1:$AB$1,0))&amp;""),"")&lt;&gt;"",IFERROR(TRIM(INDEX($A135:$AB135,MATCH(Lists!$B$6,$A$1:$AB$1,0))&amp;""),""),IFERROR(TRIM(INDEX($A135:$AB135,MATCH(Lists!$B$4,$A$1:$AB$1,0))&amp;""),"")))</f>
        <v/>
      </c>
      <c r="AU135" s="31">
        <f>IF(AR135="","",IFERROR(TRIM(INDEX($A135:$AB135,MATCH(Lists!$B$7,$A$1:$AB$1,0))&amp;""),""))</f>
        <v/>
      </c>
      <c r="AV135" s="31">
        <f>IF(AR135="","",IFERROR(TRIM(INDEX($A135:$AB135,MATCH(Lists!$B$9,$A$1:$AB$1,0))&amp;""),""))</f>
        <v/>
      </c>
      <c r="AW135" s="31">
        <f>IF(AR135="","",IFERROR(TRIM(INDEX($A135:$AB135,MATCH(Lists!$B$8,$A$1:$AB$1,0))&amp;""),""))</f>
        <v/>
      </c>
      <c r="AX135" s="23">
        <f>IF(AR135="","",IF(OR(TRIM(AE135&amp;"")&lt;&gt;"",AND(Skills!$B$5&lt;&gt;"",ISNUMBER(SEARCH(Skills!$B$5,AU135)))),1,0))</f>
        <v/>
      </c>
      <c r="AY135" s="23">
        <f>IF(AR135="","",IF(OR(TRIM(AF135&amp;"")&lt;&gt;"",AND(Skills!$B$6&lt;&gt;"",ISNUMBER(SEARCH(Skills!$B$6,AU135)))),1,0))</f>
        <v/>
      </c>
      <c r="AZ135" s="23">
        <f>IF(AR135="","",IF(OR(TRIM(AG135&amp;"")&lt;&gt;"",AND(Skills!$B$7&lt;&gt;"",ISNUMBER(SEARCH(Skills!$B$7,AU135)))),1,0))</f>
        <v/>
      </c>
      <c r="BA135" s="23">
        <f>IF(AR135="","",IF(OR(TRIM(AH135&amp;"")&lt;&gt;"",AND(Skills!$B$8&lt;&gt;"",ISNUMBER(SEARCH(Skills!$B$8,AU135)))),1,0))</f>
        <v/>
      </c>
      <c r="BB135" s="23">
        <f>IF(AR135="","",IF(OR(TRIM(AI135&amp;"")&lt;&gt;"",AND(Skills!$B$9&lt;&gt;"",ISNUMBER(SEARCH(Skills!$B$9,AU135)))),1,0))</f>
        <v/>
      </c>
      <c r="BC135" s="23">
        <f>IF(AR135="","",IF(OR(TRIM(AJ135&amp;"")&lt;&gt;"",AND(Skills!$B$10&lt;&gt;"",ISNUMBER(SEARCH(Skills!$B$10,AU135)))),1,0))</f>
        <v/>
      </c>
      <c r="BD135" s="23">
        <f>IF(AR135="","",IF(OR(TRIM(AK135&amp;"")&lt;&gt;"",AND(Skills!$B$11&lt;&gt;"",ISNUMBER(SEARCH(Skills!$B$11,AU135)))),1,0))</f>
        <v/>
      </c>
      <c r="BE135" s="23">
        <f>IF(AR135="","",IF(OR(TRIM(AL135&amp;"")&lt;&gt;"",AND(Skills!$B$12&lt;&gt;"",ISNUMBER(SEARCH(Skills!$B$12,AU135)))),1,0))</f>
        <v/>
      </c>
      <c r="BF135" s="23">
        <f>IF(AR135="","",IF(OR(TRIM(AM135&amp;"")&lt;&gt;"",AND(Skills!$B$13&lt;&gt;"",ISNUMBER(SEARCH(Skills!$B$13,AU135)))),1,0))</f>
        <v/>
      </c>
      <c r="BG135" s="23">
        <f>IF(AR135="","",IF(OR(TRIM(AN135&amp;"")&lt;&gt;"",AND(Skills!$B$14&lt;&gt;"",ISNUMBER(SEARCH(Skills!$B$14,AU135)))),1,0))</f>
        <v/>
      </c>
      <c r="BH135" s="23">
        <f>IF(AR135="","",IF(OR(TRIM(AO135&amp;"")&lt;&gt;"",AND(Skills!$B$15&lt;&gt;"",ISNUMBER(SEARCH(Skills!$B$15,AU135)))),1,0))</f>
        <v/>
      </c>
      <c r="BI135" s="23">
        <f>IF(AR135="","",IF(OR(TRIM(AP135&amp;"")&lt;&gt;"",AND(Skills!$B$16&lt;&gt;"",ISNUMBER(SEARCH(Skills!$B$16,AU135)))),1,0))</f>
        <v/>
      </c>
      <c r="BJ135" s="23">
        <f>IF(AR135="","",SUMPRODUCT($AX135:$BI135,Skills!$B$20:$M$20))</f>
        <v/>
      </c>
      <c r="BK135" s="23">
        <f>IF(AR135="","",BJ135*100000+(100000-ROW()))</f>
        <v/>
      </c>
      <c r="BL135" s="31">
        <f>IF(AR135="","",IF((IF(AND(AX135=1,Skills!$B$20=1),Skills!$B$5&amp;", ","")&amp;IF(AND(AY135=1,Skills!$C$20=1),Skills!$B$6&amp;", ","")&amp;IF(AND(AZ135=1,Skills!$D$20=1),Skills!$B$7&amp;", ","")&amp;IF(AND(BA135=1,Skills!$E$20=1),Skills!$B$8&amp;", ","")&amp;IF(AND(BB135=1,Skills!$F$20=1),Skills!$B$9&amp;", ","")&amp;IF(AND(BC135=1,Skills!$G$20=1),Skills!$B$10&amp;", ","")&amp;IF(AND(BD135=1,Skills!$H$20=1),Skills!$B$11&amp;", ","")&amp;IF(AND(BE135=1,Skills!$I$20=1),Skills!$B$12&amp;", ","")&amp;IF(AND(BF135=1,Skills!$J$20=1),Skills!$B$13&amp;", ","")&amp;IF(AND(BG135=1,Skills!$K$20=1),Skills!$B$14&amp;", ","")&amp;IF(AND(BH135=1,Skills!$L$20=1),Skills!$B$15&amp;", ","")&amp;IF(AND(BI135=1,Skills!$M$20=1),Skills!$B$16&amp;", ",""))="","",LEFT(IF(AND(AX135=1,Skills!$B$20=1),Skills!$B$5&amp;", ","")&amp;IF(AND(AY135=1,Skills!$C$20=1),Skills!$B$6&amp;", ","")&amp;IF(AND(AZ135=1,Skills!$D$20=1),Skills!$B$7&amp;", ","")&amp;IF(AND(BA135=1,Skills!$E$20=1),Skills!$B$8&amp;", ","")&amp;IF(AND(BB135=1,Skills!$F$20=1),Skills!$B$9&amp;", ","")&amp;IF(AND(BC135=1,Skills!$G$20=1),Skills!$B$10&amp;", ","")&amp;IF(AND(BD135=1,Skills!$H$20=1),Skills!$B$11&amp;", ","")&amp;IF(AND(BE135=1,Skills!$I$20=1),Skills!$B$12&amp;", ","")&amp;IF(AND(BF135=1,Skills!$J$20=1),Skills!$B$13&amp;", ","")&amp;IF(AND(BG135=1,Skills!$K$20=1),Skills!$B$14&amp;", ","")&amp;IF(AND(BH135=1,Skills!$L$20=1),Skills!$B$15&amp;", ","")&amp;IF(AND(BI135=1,Skills!$M$20=1),Skills!$B$16&amp;", ",""),LEN(IF(AND(AX135=1,Skills!$B$20=1),Skills!$B$5&amp;", ","")&amp;IF(AND(AY135=1,Skills!$C$20=1),Skills!$B$6&amp;", ","")&amp;IF(AND(AZ135=1,Skills!$D$20=1),Skills!$B$7&amp;", ","")&amp;IF(AND(BA135=1,Skills!$E$20=1),Skills!$B$8&amp;", ","")&amp;IF(AND(BB135=1,Skills!$F$20=1),Skills!$B$9&amp;", ","")&amp;IF(AND(BC135=1,Skills!$G$20=1),Skills!$B$10&amp;", ","")&amp;IF(AND(BD135=1,Skills!$H$20=1),Skills!$B$11&amp;", ","")&amp;IF(AND(BE135=1,Skills!$I$20=1),Skills!$B$12&amp;", ","")&amp;IF(AND(BF135=1,Skills!$J$20=1),Skills!$B$13&amp;", ","")&amp;IF(AND(BG135=1,Skills!$K$20=1),Skills!$B$14&amp;", ","")&amp;IF(AND(BH135=1,Skills!$L$20=1),Skills!$B$15&amp;", ","")&amp;IF(AND(BI135=1,Skills!$M$20=1),Skills!$B$16&amp;", ",""))-2)))</f>
        <v/>
      </c>
    </row>
    <row r="136">
      <c r="AD136" s="20" t="n"/>
      <c r="AE136" s="20" t="n"/>
      <c r="AF136" s="20" t="n"/>
      <c r="AG136" s="20" t="n"/>
      <c r="AH136" s="20" t="n"/>
      <c r="AI136" s="20" t="n"/>
      <c r="AJ136" s="20" t="n"/>
      <c r="AK136" s="20" t="n"/>
      <c r="AL136" s="20" t="n"/>
      <c r="AM136" s="20" t="n"/>
      <c r="AN136" s="20" t="n"/>
      <c r="AO136" s="20" t="n"/>
      <c r="AP136" s="20" t="n"/>
      <c r="AR136" s="31">
        <f>IF(IFERROR(TRIM(INDEX($A136:$AB136,MATCH(Lists!$B$5,$A$1:$AB$1,0))&amp;""),"")&lt;&gt;"",IFERROR(TRIM(INDEX($A136:$AB136,MATCH(Lists!$B$5,$A$1:$AB$1,0))&amp;""),""),IFERROR(TRIM(INDEX($A136:$AB136,MATCH(Lists!$B$3,$A$1:$AB$1,0))&amp;""),""))</f>
        <v/>
      </c>
      <c r="AS136" s="31">
        <f>IF(AR136="","",IF(IFERROR(TRIM(INDEX($A136:$AB136,MATCH(Lists!$B$5,$A$1:$AB$1,0))&amp;""),"")&lt;&gt;"","Nominated","Applied"))</f>
        <v/>
      </c>
      <c r="AT136" s="31">
        <f>IF(AR136="","",IF(IFERROR(TRIM(INDEX($A136:$AB136,MATCH(Lists!$B$5,$A$1:$AB$1,0))&amp;""),"")&lt;&gt;"",IFERROR(TRIM(INDEX($A136:$AB136,MATCH(Lists!$B$6,$A$1:$AB$1,0))&amp;""),""),IFERROR(TRIM(INDEX($A136:$AB136,MATCH(Lists!$B$4,$A$1:$AB$1,0))&amp;""),"")))</f>
        <v/>
      </c>
      <c r="AU136" s="31">
        <f>IF(AR136="","",IFERROR(TRIM(INDEX($A136:$AB136,MATCH(Lists!$B$7,$A$1:$AB$1,0))&amp;""),""))</f>
        <v/>
      </c>
      <c r="AV136" s="31">
        <f>IF(AR136="","",IFERROR(TRIM(INDEX($A136:$AB136,MATCH(Lists!$B$9,$A$1:$AB$1,0))&amp;""),""))</f>
        <v/>
      </c>
      <c r="AW136" s="31">
        <f>IF(AR136="","",IFERROR(TRIM(INDEX($A136:$AB136,MATCH(Lists!$B$8,$A$1:$AB$1,0))&amp;""),""))</f>
        <v/>
      </c>
      <c r="AX136" s="23">
        <f>IF(AR136="","",IF(OR(TRIM(AE136&amp;"")&lt;&gt;"",AND(Skills!$B$5&lt;&gt;"",ISNUMBER(SEARCH(Skills!$B$5,AU136)))),1,0))</f>
        <v/>
      </c>
      <c r="AY136" s="23">
        <f>IF(AR136="","",IF(OR(TRIM(AF136&amp;"")&lt;&gt;"",AND(Skills!$B$6&lt;&gt;"",ISNUMBER(SEARCH(Skills!$B$6,AU136)))),1,0))</f>
        <v/>
      </c>
      <c r="AZ136" s="23">
        <f>IF(AR136="","",IF(OR(TRIM(AG136&amp;"")&lt;&gt;"",AND(Skills!$B$7&lt;&gt;"",ISNUMBER(SEARCH(Skills!$B$7,AU136)))),1,0))</f>
        <v/>
      </c>
      <c r="BA136" s="23">
        <f>IF(AR136="","",IF(OR(TRIM(AH136&amp;"")&lt;&gt;"",AND(Skills!$B$8&lt;&gt;"",ISNUMBER(SEARCH(Skills!$B$8,AU136)))),1,0))</f>
        <v/>
      </c>
      <c r="BB136" s="23">
        <f>IF(AR136="","",IF(OR(TRIM(AI136&amp;"")&lt;&gt;"",AND(Skills!$B$9&lt;&gt;"",ISNUMBER(SEARCH(Skills!$B$9,AU136)))),1,0))</f>
        <v/>
      </c>
      <c r="BC136" s="23">
        <f>IF(AR136="","",IF(OR(TRIM(AJ136&amp;"")&lt;&gt;"",AND(Skills!$B$10&lt;&gt;"",ISNUMBER(SEARCH(Skills!$B$10,AU136)))),1,0))</f>
        <v/>
      </c>
      <c r="BD136" s="23">
        <f>IF(AR136="","",IF(OR(TRIM(AK136&amp;"")&lt;&gt;"",AND(Skills!$B$11&lt;&gt;"",ISNUMBER(SEARCH(Skills!$B$11,AU136)))),1,0))</f>
        <v/>
      </c>
      <c r="BE136" s="23">
        <f>IF(AR136="","",IF(OR(TRIM(AL136&amp;"")&lt;&gt;"",AND(Skills!$B$12&lt;&gt;"",ISNUMBER(SEARCH(Skills!$B$12,AU136)))),1,0))</f>
        <v/>
      </c>
      <c r="BF136" s="23">
        <f>IF(AR136="","",IF(OR(TRIM(AM136&amp;"")&lt;&gt;"",AND(Skills!$B$13&lt;&gt;"",ISNUMBER(SEARCH(Skills!$B$13,AU136)))),1,0))</f>
        <v/>
      </c>
      <c r="BG136" s="23">
        <f>IF(AR136="","",IF(OR(TRIM(AN136&amp;"")&lt;&gt;"",AND(Skills!$B$14&lt;&gt;"",ISNUMBER(SEARCH(Skills!$B$14,AU136)))),1,0))</f>
        <v/>
      </c>
      <c r="BH136" s="23">
        <f>IF(AR136="","",IF(OR(TRIM(AO136&amp;"")&lt;&gt;"",AND(Skills!$B$15&lt;&gt;"",ISNUMBER(SEARCH(Skills!$B$15,AU136)))),1,0))</f>
        <v/>
      </c>
      <c r="BI136" s="23">
        <f>IF(AR136="","",IF(OR(TRIM(AP136&amp;"")&lt;&gt;"",AND(Skills!$B$16&lt;&gt;"",ISNUMBER(SEARCH(Skills!$B$16,AU136)))),1,0))</f>
        <v/>
      </c>
      <c r="BJ136" s="23">
        <f>IF(AR136="","",SUMPRODUCT($AX136:$BI136,Skills!$B$20:$M$20))</f>
        <v/>
      </c>
      <c r="BK136" s="23">
        <f>IF(AR136="","",BJ136*100000+(100000-ROW()))</f>
        <v/>
      </c>
      <c r="BL136" s="31">
        <f>IF(AR136="","",IF((IF(AND(AX136=1,Skills!$B$20=1),Skills!$B$5&amp;", ","")&amp;IF(AND(AY136=1,Skills!$C$20=1),Skills!$B$6&amp;", ","")&amp;IF(AND(AZ136=1,Skills!$D$20=1),Skills!$B$7&amp;", ","")&amp;IF(AND(BA136=1,Skills!$E$20=1),Skills!$B$8&amp;", ","")&amp;IF(AND(BB136=1,Skills!$F$20=1),Skills!$B$9&amp;", ","")&amp;IF(AND(BC136=1,Skills!$G$20=1),Skills!$B$10&amp;", ","")&amp;IF(AND(BD136=1,Skills!$H$20=1),Skills!$B$11&amp;", ","")&amp;IF(AND(BE136=1,Skills!$I$20=1),Skills!$B$12&amp;", ","")&amp;IF(AND(BF136=1,Skills!$J$20=1),Skills!$B$13&amp;", ","")&amp;IF(AND(BG136=1,Skills!$K$20=1),Skills!$B$14&amp;", ","")&amp;IF(AND(BH136=1,Skills!$L$20=1),Skills!$B$15&amp;", ","")&amp;IF(AND(BI136=1,Skills!$M$20=1),Skills!$B$16&amp;", ",""))="","",LEFT(IF(AND(AX136=1,Skills!$B$20=1),Skills!$B$5&amp;", ","")&amp;IF(AND(AY136=1,Skills!$C$20=1),Skills!$B$6&amp;", ","")&amp;IF(AND(AZ136=1,Skills!$D$20=1),Skills!$B$7&amp;", ","")&amp;IF(AND(BA136=1,Skills!$E$20=1),Skills!$B$8&amp;", ","")&amp;IF(AND(BB136=1,Skills!$F$20=1),Skills!$B$9&amp;", ","")&amp;IF(AND(BC136=1,Skills!$G$20=1),Skills!$B$10&amp;", ","")&amp;IF(AND(BD136=1,Skills!$H$20=1),Skills!$B$11&amp;", ","")&amp;IF(AND(BE136=1,Skills!$I$20=1),Skills!$B$12&amp;", ","")&amp;IF(AND(BF136=1,Skills!$J$20=1),Skills!$B$13&amp;", ","")&amp;IF(AND(BG136=1,Skills!$K$20=1),Skills!$B$14&amp;", ","")&amp;IF(AND(BH136=1,Skills!$L$20=1),Skills!$B$15&amp;", ","")&amp;IF(AND(BI136=1,Skills!$M$20=1),Skills!$B$16&amp;", ",""),LEN(IF(AND(AX136=1,Skills!$B$20=1),Skills!$B$5&amp;", ","")&amp;IF(AND(AY136=1,Skills!$C$20=1),Skills!$B$6&amp;", ","")&amp;IF(AND(AZ136=1,Skills!$D$20=1),Skills!$B$7&amp;", ","")&amp;IF(AND(BA136=1,Skills!$E$20=1),Skills!$B$8&amp;", ","")&amp;IF(AND(BB136=1,Skills!$F$20=1),Skills!$B$9&amp;", ","")&amp;IF(AND(BC136=1,Skills!$G$20=1),Skills!$B$10&amp;", ","")&amp;IF(AND(BD136=1,Skills!$H$20=1),Skills!$B$11&amp;", ","")&amp;IF(AND(BE136=1,Skills!$I$20=1),Skills!$B$12&amp;", ","")&amp;IF(AND(BF136=1,Skills!$J$20=1),Skills!$B$13&amp;", ","")&amp;IF(AND(BG136=1,Skills!$K$20=1),Skills!$B$14&amp;", ","")&amp;IF(AND(BH136=1,Skills!$L$20=1),Skills!$B$15&amp;", ","")&amp;IF(AND(BI136=1,Skills!$M$20=1),Skills!$B$16&amp;", ",""))-2)))</f>
        <v/>
      </c>
    </row>
    <row r="137">
      <c r="AD137" s="20" t="n"/>
      <c r="AE137" s="20" t="n"/>
      <c r="AF137" s="20" t="n"/>
      <c r="AG137" s="20" t="n"/>
      <c r="AH137" s="20" t="n"/>
      <c r="AI137" s="20" t="n"/>
      <c r="AJ137" s="20" t="n"/>
      <c r="AK137" s="20" t="n"/>
      <c r="AL137" s="20" t="n"/>
      <c r="AM137" s="20" t="n"/>
      <c r="AN137" s="20" t="n"/>
      <c r="AO137" s="20" t="n"/>
      <c r="AP137" s="20" t="n"/>
      <c r="AR137" s="31">
        <f>IF(IFERROR(TRIM(INDEX($A137:$AB137,MATCH(Lists!$B$5,$A$1:$AB$1,0))&amp;""),"")&lt;&gt;"",IFERROR(TRIM(INDEX($A137:$AB137,MATCH(Lists!$B$5,$A$1:$AB$1,0))&amp;""),""),IFERROR(TRIM(INDEX($A137:$AB137,MATCH(Lists!$B$3,$A$1:$AB$1,0))&amp;""),""))</f>
        <v/>
      </c>
      <c r="AS137" s="31">
        <f>IF(AR137="","",IF(IFERROR(TRIM(INDEX($A137:$AB137,MATCH(Lists!$B$5,$A$1:$AB$1,0))&amp;""),"")&lt;&gt;"","Nominated","Applied"))</f>
        <v/>
      </c>
      <c r="AT137" s="31">
        <f>IF(AR137="","",IF(IFERROR(TRIM(INDEX($A137:$AB137,MATCH(Lists!$B$5,$A$1:$AB$1,0))&amp;""),"")&lt;&gt;"",IFERROR(TRIM(INDEX($A137:$AB137,MATCH(Lists!$B$6,$A$1:$AB$1,0))&amp;""),""),IFERROR(TRIM(INDEX($A137:$AB137,MATCH(Lists!$B$4,$A$1:$AB$1,0))&amp;""),"")))</f>
        <v/>
      </c>
      <c r="AU137" s="31">
        <f>IF(AR137="","",IFERROR(TRIM(INDEX($A137:$AB137,MATCH(Lists!$B$7,$A$1:$AB$1,0))&amp;""),""))</f>
        <v/>
      </c>
      <c r="AV137" s="31">
        <f>IF(AR137="","",IFERROR(TRIM(INDEX($A137:$AB137,MATCH(Lists!$B$9,$A$1:$AB$1,0))&amp;""),""))</f>
        <v/>
      </c>
      <c r="AW137" s="31">
        <f>IF(AR137="","",IFERROR(TRIM(INDEX($A137:$AB137,MATCH(Lists!$B$8,$A$1:$AB$1,0))&amp;""),""))</f>
        <v/>
      </c>
      <c r="AX137" s="23">
        <f>IF(AR137="","",IF(OR(TRIM(AE137&amp;"")&lt;&gt;"",AND(Skills!$B$5&lt;&gt;"",ISNUMBER(SEARCH(Skills!$B$5,AU137)))),1,0))</f>
        <v/>
      </c>
      <c r="AY137" s="23">
        <f>IF(AR137="","",IF(OR(TRIM(AF137&amp;"")&lt;&gt;"",AND(Skills!$B$6&lt;&gt;"",ISNUMBER(SEARCH(Skills!$B$6,AU137)))),1,0))</f>
        <v/>
      </c>
      <c r="AZ137" s="23">
        <f>IF(AR137="","",IF(OR(TRIM(AG137&amp;"")&lt;&gt;"",AND(Skills!$B$7&lt;&gt;"",ISNUMBER(SEARCH(Skills!$B$7,AU137)))),1,0))</f>
        <v/>
      </c>
      <c r="BA137" s="23">
        <f>IF(AR137="","",IF(OR(TRIM(AH137&amp;"")&lt;&gt;"",AND(Skills!$B$8&lt;&gt;"",ISNUMBER(SEARCH(Skills!$B$8,AU137)))),1,0))</f>
        <v/>
      </c>
      <c r="BB137" s="23">
        <f>IF(AR137="","",IF(OR(TRIM(AI137&amp;"")&lt;&gt;"",AND(Skills!$B$9&lt;&gt;"",ISNUMBER(SEARCH(Skills!$B$9,AU137)))),1,0))</f>
        <v/>
      </c>
      <c r="BC137" s="23">
        <f>IF(AR137="","",IF(OR(TRIM(AJ137&amp;"")&lt;&gt;"",AND(Skills!$B$10&lt;&gt;"",ISNUMBER(SEARCH(Skills!$B$10,AU137)))),1,0))</f>
        <v/>
      </c>
      <c r="BD137" s="23">
        <f>IF(AR137="","",IF(OR(TRIM(AK137&amp;"")&lt;&gt;"",AND(Skills!$B$11&lt;&gt;"",ISNUMBER(SEARCH(Skills!$B$11,AU137)))),1,0))</f>
        <v/>
      </c>
      <c r="BE137" s="23">
        <f>IF(AR137="","",IF(OR(TRIM(AL137&amp;"")&lt;&gt;"",AND(Skills!$B$12&lt;&gt;"",ISNUMBER(SEARCH(Skills!$B$12,AU137)))),1,0))</f>
        <v/>
      </c>
      <c r="BF137" s="23">
        <f>IF(AR137="","",IF(OR(TRIM(AM137&amp;"")&lt;&gt;"",AND(Skills!$B$13&lt;&gt;"",ISNUMBER(SEARCH(Skills!$B$13,AU137)))),1,0))</f>
        <v/>
      </c>
      <c r="BG137" s="23">
        <f>IF(AR137="","",IF(OR(TRIM(AN137&amp;"")&lt;&gt;"",AND(Skills!$B$14&lt;&gt;"",ISNUMBER(SEARCH(Skills!$B$14,AU137)))),1,0))</f>
        <v/>
      </c>
      <c r="BH137" s="23">
        <f>IF(AR137="","",IF(OR(TRIM(AO137&amp;"")&lt;&gt;"",AND(Skills!$B$15&lt;&gt;"",ISNUMBER(SEARCH(Skills!$B$15,AU137)))),1,0))</f>
        <v/>
      </c>
      <c r="BI137" s="23">
        <f>IF(AR137="","",IF(OR(TRIM(AP137&amp;"")&lt;&gt;"",AND(Skills!$B$16&lt;&gt;"",ISNUMBER(SEARCH(Skills!$B$16,AU137)))),1,0))</f>
        <v/>
      </c>
      <c r="BJ137" s="23">
        <f>IF(AR137="","",SUMPRODUCT($AX137:$BI137,Skills!$B$20:$M$20))</f>
        <v/>
      </c>
      <c r="BK137" s="23">
        <f>IF(AR137="","",BJ137*100000+(100000-ROW()))</f>
        <v/>
      </c>
      <c r="BL137" s="31">
        <f>IF(AR137="","",IF((IF(AND(AX137=1,Skills!$B$20=1),Skills!$B$5&amp;", ","")&amp;IF(AND(AY137=1,Skills!$C$20=1),Skills!$B$6&amp;", ","")&amp;IF(AND(AZ137=1,Skills!$D$20=1),Skills!$B$7&amp;", ","")&amp;IF(AND(BA137=1,Skills!$E$20=1),Skills!$B$8&amp;", ","")&amp;IF(AND(BB137=1,Skills!$F$20=1),Skills!$B$9&amp;", ","")&amp;IF(AND(BC137=1,Skills!$G$20=1),Skills!$B$10&amp;", ","")&amp;IF(AND(BD137=1,Skills!$H$20=1),Skills!$B$11&amp;", ","")&amp;IF(AND(BE137=1,Skills!$I$20=1),Skills!$B$12&amp;", ","")&amp;IF(AND(BF137=1,Skills!$J$20=1),Skills!$B$13&amp;", ","")&amp;IF(AND(BG137=1,Skills!$K$20=1),Skills!$B$14&amp;", ","")&amp;IF(AND(BH137=1,Skills!$L$20=1),Skills!$B$15&amp;", ","")&amp;IF(AND(BI137=1,Skills!$M$20=1),Skills!$B$16&amp;", ",""))="","",LEFT(IF(AND(AX137=1,Skills!$B$20=1),Skills!$B$5&amp;", ","")&amp;IF(AND(AY137=1,Skills!$C$20=1),Skills!$B$6&amp;", ","")&amp;IF(AND(AZ137=1,Skills!$D$20=1),Skills!$B$7&amp;", ","")&amp;IF(AND(BA137=1,Skills!$E$20=1),Skills!$B$8&amp;", ","")&amp;IF(AND(BB137=1,Skills!$F$20=1),Skills!$B$9&amp;", ","")&amp;IF(AND(BC137=1,Skills!$G$20=1),Skills!$B$10&amp;", ","")&amp;IF(AND(BD137=1,Skills!$H$20=1),Skills!$B$11&amp;", ","")&amp;IF(AND(BE137=1,Skills!$I$20=1),Skills!$B$12&amp;", ","")&amp;IF(AND(BF137=1,Skills!$J$20=1),Skills!$B$13&amp;", ","")&amp;IF(AND(BG137=1,Skills!$K$20=1),Skills!$B$14&amp;", ","")&amp;IF(AND(BH137=1,Skills!$L$20=1),Skills!$B$15&amp;", ","")&amp;IF(AND(BI137=1,Skills!$M$20=1),Skills!$B$16&amp;", ",""),LEN(IF(AND(AX137=1,Skills!$B$20=1),Skills!$B$5&amp;", ","")&amp;IF(AND(AY137=1,Skills!$C$20=1),Skills!$B$6&amp;", ","")&amp;IF(AND(AZ137=1,Skills!$D$20=1),Skills!$B$7&amp;", ","")&amp;IF(AND(BA137=1,Skills!$E$20=1),Skills!$B$8&amp;", ","")&amp;IF(AND(BB137=1,Skills!$F$20=1),Skills!$B$9&amp;", ","")&amp;IF(AND(BC137=1,Skills!$G$20=1),Skills!$B$10&amp;", ","")&amp;IF(AND(BD137=1,Skills!$H$20=1),Skills!$B$11&amp;", ","")&amp;IF(AND(BE137=1,Skills!$I$20=1),Skills!$B$12&amp;", ","")&amp;IF(AND(BF137=1,Skills!$J$20=1),Skills!$B$13&amp;", ","")&amp;IF(AND(BG137=1,Skills!$K$20=1),Skills!$B$14&amp;", ","")&amp;IF(AND(BH137=1,Skills!$L$20=1),Skills!$B$15&amp;", ","")&amp;IF(AND(BI137=1,Skills!$M$20=1),Skills!$B$16&amp;", ",""))-2)))</f>
        <v/>
      </c>
    </row>
    <row r="138">
      <c r="AD138" s="20" t="n"/>
      <c r="AE138" s="20" t="n"/>
      <c r="AF138" s="20" t="n"/>
      <c r="AG138" s="20" t="n"/>
      <c r="AH138" s="20" t="n"/>
      <c r="AI138" s="20" t="n"/>
      <c r="AJ138" s="20" t="n"/>
      <c r="AK138" s="20" t="n"/>
      <c r="AL138" s="20" t="n"/>
      <c r="AM138" s="20" t="n"/>
      <c r="AN138" s="20" t="n"/>
      <c r="AO138" s="20" t="n"/>
      <c r="AP138" s="20" t="n"/>
      <c r="AR138" s="31">
        <f>IF(IFERROR(TRIM(INDEX($A138:$AB138,MATCH(Lists!$B$5,$A$1:$AB$1,0))&amp;""),"")&lt;&gt;"",IFERROR(TRIM(INDEX($A138:$AB138,MATCH(Lists!$B$5,$A$1:$AB$1,0))&amp;""),""),IFERROR(TRIM(INDEX($A138:$AB138,MATCH(Lists!$B$3,$A$1:$AB$1,0))&amp;""),""))</f>
        <v/>
      </c>
      <c r="AS138" s="31">
        <f>IF(AR138="","",IF(IFERROR(TRIM(INDEX($A138:$AB138,MATCH(Lists!$B$5,$A$1:$AB$1,0))&amp;""),"")&lt;&gt;"","Nominated","Applied"))</f>
        <v/>
      </c>
      <c r="AT138" s="31">
        <f>IF(AR138="","",IF(IFERROR(TRIM(INDEX($A138:$AB138,MATCH(Lists!$B$5,$A$1:$AB$1,0))&amp;""),"")&lt;&gt;"",IFERROR(TRIM(INDEX($A138:$AB138,MATCH(Lists!$B$6,$A$1:$AB$1,0))&amp;""),""),IFERROR(TRIM(INDEX($A138:$AB138,MATCH(Lists!$B$4,$A$1:$AB$1,0))&amp;""),"")))</f>
        <v/>
      </c>
      <c r="AU138" s="31">
        <f>IF(AR138="","",IFERROR(TRIM(INDEX($A138:$AB138,MATCH(Lists!$B$7,$A$1:$AB$1,0))&amp;""),""))</f>
        <v/>
      </c>
      <c r="AV138" s="31">
        <f>IF(AR138="","",IFERROR(TRIM(INDEX($A138:$AB138,MATCH(Lists!$B$9,$A$1:$AB$1,0))&amp;""),""))</f>
        <v/>
      </c>
      <c r="AW138" s="31">
        <f>IF(AR138="","",IFERROR(TRIM(INDEX($A138:$AB138,MATCH(Lists!$B$8,$A$1:$AB$1,0))&amp;""),""))</f>
        <v/>
      </c>
      <c r="AX138" s="23">
        <f>IF(AR138="","",IF(OR(TRIM(AE138&amp;"")&lt;&gt;"",AND(Skills!$B$5&lt;&gt;"",ISNUMBER(SEARCH(Skills!$B$5,AU138)))),1,0))</f>
        <v/>
      </c>
      <c r="AY138" s="23">
        <f>IF(AR138="","",IF(OR(TRIM(AF138&amp;"")&lt;&gt;"",AND(Skills!$B$6&lt;&gt;"",ISNUMBER(SEARCH(Skills!$B$6,AU138)))),1,0))</f>
        <v/>
      </c>
      <c r="AZ138" s="23">
        <f>IF(AR138="","",IF(OR(TRIM(AG138&amp;"")&lt;&gt;"",AND(Skills!$B$7&lt;&gt;"",ISNUMBER(SEARCH(Skills!$B$7,AU138)))),1,0))</f>
        <v/>
      </c>
      <c r="BA138" s="23">
        <f>IF(AR138="","",IF(OR(TRIM(AH138&amp;"")&lt;&gt;"",AND(Skills!$B$8&lt;&gt;"",ISNUMBER(SEARCH(Skills!$B$8,AU138)))),1,0))</f>
        <v/>
      </c>
      <c r="BB138" s="23">
        <f>IF(AR138="","",IF(OR(TRIM(AI138&amp;"")&lt;&gt;"",AND(Skills!$B$9&lt;&gt;"",ISNUMBER(SEARCH(Skills!$B$9,AU138)))),1,0))</f>
        <v/>
      </c>
      <c r="BC138" s="23">
        <f>IF(AR138="","",IF(OR(TRIM(AJ138&amp;"")&lt;&gt;"",AND(Skills!$B$10&lt;&gt;"",ISNUMBER(SEARCH(Skills!$B$10,AU138)))),1,0))</f>
        <v/>
      </c>
      <c r="BD138" s="23">
        <f>IF(AR138="","",IF(OR(TRIM(AK138&amp;"")&lt;&gt;"",AND(Skills!$B$11&lt;&gt;"",ISNUMBER(SEARCH(Skills!$B$11,AU138)))),1,0))</f>
        <v/>
      </c>
      <c r="BE138" s="23">
        <f>IF(AR138="","",IF(OR(TRIM(AL138&amp;"")&lt;&gt;"",AND(Skills!$B$12&lt;&gt;"",ISNUMBER(SEARCH(Skills!$B$12,AU138)))),1,0))</f>
        <v/>
      </c>
      <c r="BF138" s="23">
        <f>IF(AR138="","",IF(OR(TRIM(AM138&amp;"")&lt;&gt;"",AND(Skills!$B$13&lt;&gt;"",ISNUMBER(SEARCH(Skills!$B$13,AU138)))),1,0))</f>
        <v/>
      </c>
      <c r="BG138" s="23">
        <f>IF(AR138="","",IF(OR(TRIM(AN138&amp;"")&lt;&gt;"",AND(Skills!$B$14&lt;&gt;"",ISNUMBER(SEARCH(Skills!$B$14,AU138)))),1,0))</f>
        <v/>
      </c>
      <c r="BH138" s="23">
        <f>IF(AR138="","",IF(OR(TRIM(AO138&amp;"")&lt;&gt;"",AND(Skills!$B$15&lt;&gt;"",ISNUMBER(SEARCH(Skills!$B$15,AU138)))),1,0))</f>
        <v/>
      </c>
      <c r="BI138" s="23">
        <f>IF(AR138="","",IF(OR(TRIM(AP138&amp;"")&lt;&gt;"",AND(Skills!$B$16&lt;&gt;"",ISNUMBER(SEARCH(Skills!$B$16,AU138)))),1,0))</f>
        <v/>
      </c>
      <c r="BJ138" s="23">
        <f>IF(AR138="","",SUMPRODUCT($AX138:$BI138,Skills!$B$20:$M$20))</f>
        <v/>
      </c>
      <c r="BK138" s="23">
        <f>IF(AR138="","",BJ138*100000+(100000-ROW()))</f>
        <v/>
      </c>
      <c r="BL138" s="31">
        <f>IF(AR138="","",IF((IF(AND(AX138=1,Skills!$B$20=1),Skills!$B$5&amp;", ","")&amp;IF(AND(AY138=1,Skills!$C$20=1),Skills!$B$6&amp;", ","")&amp;IF(AND(AZ138=1,Skills!$D$20=1),Skills!$B$7&amp;", ","")&amp;IF(AND(BA138=1,Skills!$E$20=1),Skills!$B$8&amp;", ","")&amp;IF(AND(BB138=1,Skills!$F$20=1),Skills!$B$9&amp;", ","")&amp;IF(AND(BC138=1,Skills!$G$20=1),Skills!$B$10&amp;", ","")&amp;IF(AND(BD138=1,Skills!$H$20=1),Skills!$B$11&amp;", ","")&amp;IF(AND(BE138=1,Skills!$I$20=1),Skills!$B$12&amp;", ","")&amp;IF(AND(BF138=1,Skills!$J$20=1),Skills!$B$13&amp;", ","")&amp;IF(AND(BG138=1,Skills!$K$20=1),Skills!$B$14&amp;", ","")&amp;IF(AND(BH138=1,Skills!$L$20=1),Skills!$B$15&amp;", ","")&amp;IF(AND(BI138=1,Skills!$M$20=1),Skills!$B$16&amp;", ",""))="","",LEFT(IF(AND(AX138=1,Skills!$B$20=1),Skills!$B$5&amp;", ","")&amp;IF(AND(AY138=1,Skills!$C$20=1),Skills!$B$6&amp;", ","")&amp;IF(AND(AZ138=1,Skills!$D$20=1),Skills!$B$7&amp;", ","")&amp;IF(AND(BA138=1,Skills!$E$20=1),Skills!$B$8&amp;", ","")&amp;IF(AND(BB138=1,Skills!$F$20=1),Skills!$B$9&amp;", ","")&amp;IF(AND(BC138=1,Skills!$G$20=1),Skills!$B$10&amp;", ","")&amp;IF(AND(BD138=1,Skills!$H$20=1),Skills!$B$11&amp;", ","")&amp;IF(AND(BE138=1,Skills!$I$20=1),Skills!$B$12&amp;", ","")&amp;IF(AND(BF138=1,Skills!$J$20=1),Skills!$B$13&amp;", ","")&amp;IF(AND(BG138=1,Skills!$K$20=1),Skills!$B$14&amp;", ","")&amp;IF(AND(BH138=1,Skills!$L$20=1),Skills!$B$15&amp;", ","")&amp;IF(AND(BI138=1,Skills!$M$20=1),Skills!$B$16&amp;", ",""),LEN(IF(AND(AX138=1,Skills!$B$20=1),Skills!$B$5&amp;", ","")&amp;IF(AND(AY138=1,Skills!$C$20=1),Skills!$B$6&amp;", ","")&amp;IF(AND(AZ138=1,Skills!$D$20=1),Skills!$B$7&amp;", ","")&amp;IF(AND(BA138=1,Skills!$E$20=1),Skills!$B$8&amp;", ","")&amp;IF(AND(BB138=1,Skills!$F$20=1),Skills!$B$9&amp;", ","")&amp;IF(AND(BC138=1,Skills!$G$20=1),Skills!$B$10&amp;", ","")&amp;IF(AND(BD138=1,Skills!$H$20=1),Skills!$B$11&amp;", ","")&amp;IF(AND(BE138=1,Skills!$I$20=1),Skills!$B$12&amp;", ","")&amp;IF(AND(BF138=1,Skills!$J$20=1),Skills!$B$13&amp;", ","")&amp;IF(AND(BG138=1,Skills!$K$20=1),Skills!$B$14&amp;", ","")&amp;IF(AND(BH138=1,Skills!$L$20=1),Skills!$B$15&amp;", ","")&amp;IF(AND(BI138=1,Skills!$M$20=1),Skills!$B$16&amp;", ",""))-2)))</f>
        <v/>
      </c>
    </row>
    <row r="139">
      <c r="AD139" s="20" t="n"/>
      <c r="AE139" s="20" t="n"/>
      <c r="AF139" s="20" t="n"/>
      <c r="AG139" s="20" t="n"/>
      <c r="AH139" s="20" t="n"/>
      <c r="AI139" s="20" t="n"/>
      <c r="AJ139" s="20" t="n"/>
      <c r="AK139" s="20" t="n"/>
      <c r="AL139" s="20" t="n"/>
      <c r="AM139" s="20" t="n"/>
      <c r="AN139" s="20" t="n"/>
      <c r="AO139" s="20" t="n"/>
      <c r="AP139" s="20" t="n"/>
      <c r="AR139" s="31">
        <f>IF(IFERROR(TRIM(INDEX($A139:$AB139,MATCH(Lists!$B$5,$A$1:$AB$1,0))&amp;""),"")&lt;&gt;"",IFERROR(TRIM(INDEX($A139:$AB139,MATCH(Lists!$B$5,$A$1:$AB$1,0))&amp;""),""),IFERROR(TRIM(INDEX($A139:$AB139,MATCH(Lists!$B$3,$A$1:$AB$1,0))&amp;""),""))</f>
        <v/>
      </c>
      <c r="AS139" s="31">
        <f>IF(AR139="","",IF(IFERROR(TRIM(INDEX($A139:$AB139,MATCH(Lists!$B$5,$A$1:$AB$1,0))&amp;""),"")&lt;&gt;"","Nominated","Applied"))</f>
        <v/>
      </c>
      <c r="AT139" s="31">
        <f>IF(AR139="","",IF(IFERROR(TRIM(INDEX($A139:$AB139,MATCH(Lists!$B$5,$A$1:$AB$1,0))&amp;""),"")&lt;&gt;"",IFERROR(TRIM(INDEX($A139:$AB139,MATCH(Lists!$B$6,$A$1:$AB$1,0))&amp;""),""),IFERROR(TRIM(INDEX($A139:$AB139,MATCH(Lists!$B$4,$A$1:$AB$1,0))&amp;""),"")))</f>
        <v/>
      </c>
      <c r="AU139" s="31">
        <f>IF(AR139="","",IFERROR(TRIM(INDEX($A139:$AB139,MATCH(Lists!$B$7,$A$1:$AB$1,0))&amp;""),""))</f>
        <v/>
      </c>
      <c r="AV139" s="31">
        <f>IF(AR139="","",IFERROR(TRIM(INDEX($A139:$AB139,MATCH(Lists!$B$9,$A$1:$AB$1,0))&amp;""),""))</f>
        <v/>
      </c>
      <c r="AW139" s="31">
        <f>IF(AR139="","",IFERROR(TRIM(INDEX($A139:$AB139,MATCH(Lists!$B$8,$A$1:$AB$1,0))&amp;""),""))</f>
        <v/>
      </c>
      <c r="AX139" s="23">
        <f>IF(AR139="","",IF(OR(TRIM(AE139&amp;"")&lt;&gt;"",AND(Skills!$B$5&lt;&gt;"",ISNUMBER(SEARCH(Skills!$B$5,AU139)))),1,0))</f>
        <v/>
      </c>
      <c r="AY139" s="23">
        <f>IF(AR139="","",IF(OR(TRIM(AF139&amp;"")&lt;&gt;"",AND(Skills!$B$6&lt;&gt;"",ISNUMBER(SEARCH(Skills!$B$6,AU139)))),1,0))</f>
        <v/>
      </c>
      <c r="AZ139" s="23">
        <f>IF(AR139="","",IF(OR(TRIM(AG139&amp;"")&lt;&gt;"",AND(Skills!$B$7&lt;&gt;"",ISNUMBER(SEARCH(Skills!$B$7,AU139)))),1,0))</f>
        <v/>
      </c>
      <c r="BA139" s="23">
        <f>IF(AR139="","",IF(OR(TRIM(AH139&amp;"")&lt;&gt;"",AND(Skills!$B$8&lt;&gt;"",ISNUMBER(SEARCH(Skills!$B$8,AU139)))),1,0))</f>
        <v/>
      </c>
      <c r="BB139" s="23">
        <f>IF(AR139="","",IF(OR(TRIM(AI139&amp;"")&lt;&gt;"",AND(Skills!$B$9&lt;&gt;"",ISNUMBER(SEARCH(Skills!$B$9,AU139)))),1,0))</f>
        <v/>
      </c>
      <c r="BC139" s="23">
        <f>IF(AR139="","",IF(OR(TRIM(AJ139&amp;"")&lt;&gt;"",AND(Skills!$B$10&lt;&gt;"",ISNUMBER(SEARCH(Skills!$B$10,AU139)))),1,0))</f>
        <v/>
      </c>
      <c r="BD139" s="23">
        <f>IF(AR139="","",IF(OR(TRIM(AK139&amp;"")&lt;&gt;"",AND(Skills!$B$11&lt;&gt;"",ISNUMBER(SEARCH(Skills!$B$11,AU139)))),1,0))</f>
        <v/>
      </c>
      <c r="BE139" s="23">
        <f>IF(AR139="","",IF(OR(TRIM(AL139&amp;"")&lt;&gt;"",AND(Skills!$B$12&lt;&gt;"",ISNUMBER(SEARCH(Skills!$B$12,AU139)))),1,0))</f>
        <v/>
      </c>
      <c r="BF139" s="23">
        <f>IF(AR139="","",IF(OR(TRIM(AM139&amp;"")&lt;&gt;"",AND(Skills!$B$13&lt;&gt;"",ISNUMBER(SEARCH(Skills!$B$13,AU139)))),1,0))</f>
        <v/>
      </c>
      <c r="BG139" s="23">
        <f>IF(AR139="","",IF(OR(TRIM(AN139&amp;"")&lt;&gt;"",AND(Skills!$B$14&lt;&gt;"",ISNUMBER(SEARCH(Skills!$B$14,AU139)))),1,0))</f>
        <v/>
      </c>
      <c r="BH139" s="23">
        <f>IF(AR139="","",IF(OR(TRIM(AO139&amp;"")&lt;&gt;"",AND(Skills!$B$15&lt;&gt;"",ISNUMBER(SEARCH(Skills!$B$15,AU139)))),1,0))</f>
        <v/>
      </c>
      <c r="BI139" s="23">
        <f>IF(AR139="","",IF(OR(TRIM(AP139&amp;"")&lt;&gt;"",AND(Skills!$B$16&lt;&gt;"",ISNUMBER(SEARCH(Skills!$B$16,AU139)))),1,0))</f>
        <v/>
      </c>
      <c r="BJ139" s="23">
        <f>IF(AR139="","",SUMPRODUCT($AX139:$BI139,Skills!$B$20:$M$20))</f>
        <v/>
      </c>
      <c r="BK139" s="23">
        <f>IF(AR139="","",BJ139*100000+(100000-ROW()))</f>
        <v/>
      </c>
      <c r="BL139" s="31">
        <f>IF(AR139="","",IF((IF(AND(AX139=1,Skills!$B$20=1),Skills!$B$5&amp;", ","")&amp;IF(AND(AY139=1,Skills!$C$20=1),Skills!$B$6&amp;", ","")&amp;IF(AND(AZ139=1,Skills!$D$20=1),Skills!$B$7&amp;", ","")&amp;IF(AND(BA139=1,Skills!$E$20=1),Skills!$B$8&amp;", ","")&amp;IF(AND(BB139=1,Skills!$F$20=1),Skills!$B$9&amp;", ","")&amp;IF(AND(BC139=1,Skills!$G$20=1),Skills!$B$10&amp;", ","")&amp;IF(AND(BD139=1,Skills!$H$20=1),Skills!$B$11&amp;", ","")&amp;IF(AND(BE139=1,Skills!$I$20=1),Skills!$B$12&amp;", ","")&amp;IF(AND(BF139=1,Skills!$J$20=1),Skills!$B$13&amp;", ","")&amp;IF(AND(BG139=1,Skills!$K$20=1),Skills!$B$14&amp;", ","")&amp;IF(AND(BH139=1,Skills!$L$20=1),Skills!$B$15&amp;", ","")&amp;IF(AND(BI139=1,Skills!$M$20=1),Skills!$B$16&amp;", ",""))="","",LEFT(IF(AND(AX139=1,Skills!$B$20=1),Skills!$B$5&amp;", ","")&amp;IF(AND(AY139=1,Skills!$C$20=1),Skills!$B$6&amp;", ","")&amp;IF(AND(AZ139=1,Skills!$D$20=1),Skills!$B$7&amp;", ","")&amp;IF(AND(BA139=1,Skills!$E$20=1),Skills!$B$8&amp;", ","")&amp;IF(AND(BB139=1,Skills!$F$20=1),Skills!$B$9&amp;", ","")&amp;IF(AND(BC139=1,Skills!$G$20=1),Skills!$B$10&amp;", ","")&amp;IF(AND(BD139=1,Skills!$H$20=1),Skills!$B$11&amp;", ","")&amp;IF(AND(BE139=1,Skills!$I$20=1),Skills!$B$12&amp;", ","")&amp;IF(AND(BF139=1,Skills!$J$20=1),Skills!$B$13&amp;", ","")&amp;IF(AND(BG139=1,Skills!$K$20=1),Skills!$B$14&amp;", ","")&amp;IF(AND(BH139=1,Skills!$L$20=1),Skills!$B$15&amp;", ","")&amp;IF(AND(BI139=1,Skills!$M$20=1),Skills!$B$16&amp;", ",""),LEN(IF(AND(AX139=1,Skills!$B$20=1),Skills!$B$5&amp;", ","")&amp;IF(AND(AY139=1,Skills!$C$20=1),Skills!$B$6&amp;", ","")&amp;IF(AND(AZ139=1,Skills!$D$20=1),Skills!$B$7&amp;", ","")&amp;IF(AND(BA139=1,Skills!$E$20=1),Skills!$B$8&amp;", ","")&amp;IF(AND(BB139=1,Skills!$F$20=1),Skills!$B$9&amp;", ","")&amp;IF(AND(BC139=1,Skills!$G$20=1),Skills!$B$10&amp;", ","")&amp;IF(AND(BD139=1,Skills!$H$20=1),Skills!$B$11&amp;", ","")&amp;IF(AND(BE139=1,Skills!$I$20=1),Skills!$B$12&amp;", ","")&amp;IF(AND(BF139=1,Skills!$J$20=1),Skills!$B$13&amp;", ","")&amp;IF(AND(BG139=1,Skills!$K$20=1),Skills!$B$14&amp;", ","")&amp;IF(AND(BH139=1,Skills!$L$20=1),Skills!$B$15&amp;", ","")&amp;IF(AND(BI139=1,Skills!$M$20=1),Skills!$B$16&amp;", ",""))-2)))</f>
        <v/>
      </c>
    </row>
    <row r="140">
      <c r="AD140" s="20" t="n"/>
      <c r="AE140" s="20" t="n"/>
      <c r="AF140" s="20" t="n"/>
      <c r="AG140" s="20" t="n"/>
      <c r="AH140" s="20" t="n"/>
      <c r="AI140" s="20" t="n"/>
      <c r="AJ140" s="20" t="n"/>
      <c r="AK140" s="20" t="n"/>
      <c r="AL140" s="20" t="n"/>
      <c r="AM140" s="20" t="n"/>
      <c r="AN140" s="20" t="n"/>
      <c r="AO140" s="20" t="n"/>
      <c r="AP140" s="20" t="n"/>
      <c r="AR140" s="31">
        <f>IF(IFERROR(TRIM(INDEX($A140:$AB140,MATCH(Lists!$B$5,$A$1:$AB$1,0))&amp;""),"")&lt;&gt;"",IFERROR(TRIM(INDEX($A140:$AB140,MATCH(Lists!$B$5,$A$1:$AB$1,0))&amp;""),""),IFERROR(TRIM(INDEX($A140:$AB140,MATCH(Lists!$B$3,$A$1:$AB$1,0))&amp;""),""))</f>
        <v/>
      </c>
      <c r="AS140" s="31">
        <f>IF(AR140="","",IF(IFERROR(TRIM(INDEX($A140:$AB140,MATCH(Lists!$B$5,$A$1:$AB$1,0))&amp;""),"")&lt;&gt;"","Nominated","Applied"))</f>
        <v/>
      </c>
      <c r="AT140" s="31">
        <f>IF(AR140="","",IF(IFERROR(TRIM(INDEX($A140:$AB140,MATCH(Lists!$B$5,$A$1:$AB$1,0))&amp;""),"")&lt;&gt;"",IFERROR(TRIM(INDEX($A140:$AB140,MATCH(Lists!$B$6,$A$1:$AB$1,0))&amp;""),""),IFERROR(TRIM(INDEX($A140:$AB140,MATCH(Lists!$B$4,$A$1:$AB$1,0))&amp;""),"")))</f>
        <v/>
      </c>
      <c r="AU140" s="31">
        <f>IF(AR140="","",IFERROR(TRIM(INDEX($A140:$AB140,MATCH(Lists!$B$7,$A$1:$AB$1,0))&amp;""),""))</f>
        <v/>
      </c>
      <c r="AV140" s="31">
        <f>IF(AR140="","",IFERROR(TRIM(INDEX($A140:$AB140,MATCH(Lists!$B$9,$A$1:$AB$1,0))&amp;""),""))</f>
        <v/>
      </c>
      <c r="AW140" s="31">
        <f>IF(AR140="","",IFERROR(TRIM(INDEX($A140:$AB140,MATCH(Lists!$B$8,$A$1:$AB$1,0))&amp;""),""))</f>
        <v/>
      </c>
      <c r="AX140" s="23">
        <f>IF(AR140="","",IF(OR(TRIM(AE140&amp;"")&lt;&gt;"",AND(Skills!$B$5&lt;&gt;"",ISNUMBER(SEARCH(Skills!$B$5,AU140)))),1,0))</f>
        <v/>
      </c>
      <c r="AY140" s="23">
        <f>IF(AR140="","",IF(OR(TRIM(AF140&amp;"")&lt;&gt;"",AND(Skills!$B$6&lt;&gt;"",ISNUMBER(SEARCH(Skills!$B$6,AU140)))),1,0))</f>
        <v/>
      </c>
      <c r="AZ140" s="23">
        <f>IF(AR140="","",IF(OR(TRIM(AG140&amp;"")&lt;&gt;"",AND(Skills!$B$7&lt;&gt;"",ISNUMBER(SEARCH(Skills!$B$7,AU140)))),1,0))</f>
        <v/>
      </c>
      <c r="BA140" s="23">
        <f>IF(AR140="","",IF(OR(TRIM(AH140&amp;"")&lt;&gt;"",AND(Skills!$B$8&lt;&gt;"",ISNUMBER(SEARCH(Skills!$B$8,AU140)))),1,0))</f>
        <v/>
      </c>
      <c r="BB140" s="23">
        <f>IF(AR140="","",IF(OR(TRIM(AI140&amp;"")&lt;&gt;"",AND(Skills!$B$9&lt;&gt;"",ISNUMBER(SEARCH(Skills!$B$9,AU140)))),1,0))</f>
        <v/>
      </c>
      <c r="BC140" s="23">
        <f>IF(AR140="","",IF(OR(TRIM(AJ140&amp;"")&lt;&gt;"",AND(Skills!$B$10&lt;&gt;"",ISNUMBER(SEARCH(Skills!$B$10,AU140)))),1,0))</f>
        <v/>
      </c>
      <c r="BD140" s="23">
        <f>IF(AR140="","",IF(OR(TRIM(AK140&amp;"")&lt;&gt;"",AND(Skills!$B$11&lt;&gt;"",ISNUMBER(SEARCH(Skills!$B$11,AU140)))),1,0))</f>
        <v/>
      </c>
      <c r="BE140" s="23">
        <f>IF(AR140="","",IF(OR(TRIM(AL140&amp;"")&lt;&gt;"",AND(Skills!$B$12&lt;&gt;"",ISNUMBER(SEARCH(Skills!$B$12,AU140)))),1,0))</f>
        <v/>
      </c>
      <c r="BF140" s="23">
        <f>IF(AR140="","",IF(OR(TRIM(AM140&amp;"")&lt;&gt;"",AND(Skills!$B$13&lt;&gt;"",ISNUMBER(SEARCH(Skills!$B$13,AU140)))),1,0))</f>
        <v/>
      </c>
      <c r="BG140" s="23">
        <f>IF(AR140="","",IF(OR(TRIM(AN140&amp;"")&lt;&gt;"",AND(Skills!$B$14&lt;&gt;"",ISNUMBER(SEARCH(Skills!$B$14,AU140)))),1,0))</f>
        <v/>
      </c>
      <c r="BH140" s="23">
        <f>IF(AR140="","",IF(OR(TRIM(AO140&amp;"")&lt;&gt;"",AND(Skills!$B$15&lt;&gt;"",ISNUMBER(SEARCH(Skills!$B$15,AU140)))),1,0))</f>
        <v/>
      </c>
      <c r="BI140" s="23">
        <f>IF(AR140="","",IF(OR(TRIM(AP140&amp;"")&lt;&gt;"",AND(Skills!$B$16&lt;&gt;"",ISNUMBER(SEARCH(Skills!$B$16,AU140)))),1,0))</f>
        <v/>
      </c>
      <c r="BJ140" s="23">
        <f>IF(AR140="","",SUMPRODUCT($AX140:$BI140,Skills!$B$20:$M$20))</f>
        <v/>
      </c>
      <c r="BK140" s="23">
        <f>IF(AR140="","",BJ140*100000+(100000-ROW()))</f>
        <v/>
      </c>
      <c r="BL140" s="31">
        <f>IF(AR140="","",IF((IF(AND(AX140=1,Skills!$B$20=1),Skills!$B$5&amp;", ","")&amp;IF(AND(AY140=1,Skills!$C$20=1),Skills!$B$6&amp;", ","")&amp;IF(AND(AZ140=1,Skills!$D$20=1),Skills!$B$7&amp;", ","")&amp;IF(AND(BA140=1,Skills!$E$20=1),Skills!$B$8&amp;", ","")&amp;IF(AND(BB140=1,Skills!$F$20=1),Skills!$B$9&amp;", ","")&amp;IF(AND(BC140=1,Skills!$G$20=1),Skills!$B$10&amp;", ","")&amp;IF(AND(BD140=1,Skills!$H$20=1),Skills!$B$11&amp;", ","")&amp;IF(AND(BE140=1,Skills!$I$20=1),Skills!$B$12&amp;", ","")&amp;IF(AND(BF140=1,Skills!$J$20=1),Skills!$B$13&amp;", ","")&amp;IF(AND(BG140=1,Skills!$K$20=1),Skills!$B$14&amp;", ","")&amp;IF(AND(BH140=1,Skills!$L$20=1),Skills!$B$15&amp;", ","")&amp;IF(AND(BI140=1,Skills!$M$20=1),Skills!$B$16&amp;", ",""))="","",LEFT(IF(AND(AX140=1,Skills!$B$20=1),Skills!$B$5&amp;", ","")&amp;IF(AND(AY140=1,Skills!$C$20=1),Skills!$B$6&amp;", ","")&amp;IF(AND(AZ140=1,Skills!$D$20=1),Skills!$B$7&amp;", ","")&amp;IF(AND(BA140=1,Skills!$E$20=1),Skills!$B$8&amp;", ","")&amp;IF(AND(BB140=1,Skills!$F$20=1),Skills!$B$9&amp;", ","")&amp;IF(AND(BC140=1,Skills!$G$20=1),Skills!$B$10&amp;", ","")&amp;IF(AND(BD140=1,Skills!$H$20=1),Skills!$B$11&amp;", ","")&amp;IF(AND(BE140=1,Skills!$I$20=1),Skills!$B$12&amp;", ","")&amp;IF(AND(BF140=1,Skills!$J$20=1),Skills!$B$13&amp;", ","")&amp;IF(AND(BG140=1,Skills!$K$20=1),Skills!$B$14&amp;", ","")&amp;IF(AND(BH140=1,Skills!$L$20=1),Skills!$B$15&amp;", ","")&amp;IF(AND(BI140=1,Skills!$M$20=1),Skills!$B$16&amp;", ",""),LEN(IF(AND(AX140=1,Skills!$B$20=1),Skills!$B$5&amp;", ","")&amp;IF(AND(AY140=1,Skills!$C$20=1),Skills!$B$6&amp;", ","")&amp;IF(AND(AZ140=1,Skills!$D$20=1),Skills!$B$7&amp;", ","")&amp;IF(AND(BA140=1,Skills!$E$20=1),Skills!$B$8&amp;", ","")&amp;IF(AND(BB140=1,Skills!$F$20=1),Skills!$B$9&amp;", ","")&amp;IF(AND(BC140=1,Skills!$G$20=1),Skills!$B$10&amp;", ","")&amp;IF(AND(BD140=1,Skills!$H$20=1),Skills!$B$11&amp;", ","")&amp;IF(AND(BE140=1,Skills!$I$20=1),Skills!$B$12&amp;", ","")&amp;IF(AND(BF140=1,Skills!$J$20=1),Skills!$B$13&amp;", ","")&amp;IF(AND(BG140=1,Skills!$K$20=1),Skills!$B$14&amp;", ","")&amp;IF(AND(BH140=1,Skills!$L$20=1),Skills!$B$15&amp;", ","")&amp;IF(AND(BI140=1,Skills!$M$20=1),Skills!$B$16&amp;", ",""))-2)))</f>
        <v/>
      </c>
    </row>
    <row r="141">
      <c r="AD141" s="20" t="n"/>
      <c r="AE141" s="20" t="n"/>
      <c r="AF141" s="20" t="n"/>
      <c r="AG141" s="20" t="n"/>
      <c r="AH141" s="20" t="n"/>
      <c r="AI141" s="20" t="n"/>
      <c r="AJ141" s="20" t="n"/>
      <c r="AK141" s="20" t="n"/>
      <c r="AL141" s="20" t="n"/>
      <c r="AM141" s="20" t="n"/>
      <c r="AN141" s="20" t="n"/>
      <c r="AO141" s="20" t="n"/>
      <c r="AP141" s="20" t="n"/>
      <c r="AR141" s="31">
        <f>IF(IFERROR(TRIM(INDEX($A141:$AB141,MATCH(Lists!$B$5,$A$1:$AB$1,0))&amp;""),"")&lt;&gt;"",IFERROR(TRIM(INDEX($A141:$AB141,MATCH(Lists!$B$5,$A$1:$AB$1,0))&amp;""),""),IFERROR(TRIM(INDEX($A141:$AB141,MATCH(Lists!$B$3,$A$1:$AB$1,0))&amp;""),""))</f>
        <v/>
      </c>
      <c r="AS141" s="31">
        <f>IF(AR141="","",IF(IFERROR(TRIM(INDEX($A141:$AB141,MATCH(Lists!$B$5,$A$1:$AB$1,0))&amp;""),"")&lt;&gt;"","Nominated","Applied"))</f>
        <v/>
      </c>
      <c r="AT141" s="31">
        <f>IF(AR141="","",IF(IFERROR(TRIM(INDEX($A141:$AB141,MATCH(Lists!$B$5,$A$1:$AB$1,0))&amp;""),"")&lt;&gt;"",IFERROR(TRIM(INDEX($A141:$AB141,MATCH(Lists!$B$6,$A$1:$AB$1,0))&amp;""),""),IFERROR(TRIM(INDEX($A141:$AB141,MATCH(Lists!$B$4,$A$1:$AB$1,0))&amp;""),"")))</f>
        <v/>
      </c>
      <c r="AU141" s="31">
        <f>IF(AR141="","",IFERROR(TRIM(INDEX($A141:$AB141,MATCH(Lists!$B$7,$A$1:$AB$1,0))&amp;""),""))</f>
        <v/>
      </c>
      <c r="AV141" s="31">
        <f>IF(AR141="","",IFERROR(TRIM(INDEX($A141:$AB141,MATCH(Lists!$B$9,$A$1:$AB$1,0))&amp;""),""))</f>
        <v/>
      </c>
      <c r="AW141" s="31">
        <f>IF(AR141="","",IFERROR(TRIM(INDEX($A141:$AB141,MATCH(Lists!$B$8,$A$1:$AB$1,0))&amp;""),""))</f>
        <v/>
      </c>
      <c r="AX141" s="23">
        <f>IF(AR141="","",IF(OR(TRIM(AE141&amp;"")&lt;&gt;"",AND(Skills!$B$5&lt;&gt;"",ISNUMBER(SEARCH(Skills!$B$5,AU141)))),1,0))</f>
        <v/>
      </c>
      <c r="AY141" s="23">
        <f>IF(AR141="","",IF(OR(TRIM(AF141&amp;"")&lt;&gt;"",AND(Skills!$B$6&lt;&gt;"",ISNUMBER(SEARCH(Skills!$B$6,AU141)))),1,0))</f>
        <v/>
      </c>
      <c r="AZ141" s="23">
        <f>IF(AR141="","",IF(OR(TRIM(AG141&amp;"")&lt;&gt;"",AND(Skills!$B$7&lt;&gt;"",ISNUMBER(SEARCH(Skills!$B$7,AU141)))),1,0))</f>
        <v/>
      </c>
      <c r="BA141" s="23">
        <f>IF(AR141="","",IF(OR(TRIM(AH141&amp;"")&lt;&gt;"",AND(Skills!$B$8&lt;&gt;"",ISNUMBER(SEARCH(Skills!$B$8,AU141)))),1,0))</f>
        <v/>
      </c>
      <c r="BB141" s="23">
        <f>IF(AR141="","",IF(OR(TRIM(AI141&amp;"")&lt;&gt;"",AND(Skills!$B$9&lt;&gt;"",ISNUMBER(SEARCH(Skills!$B$9,AU141)))),1,0))</f>
        <v/>
      </c>
      <c r="BC141" s="23">
        <f>IF(AR141="","",IF(OR(TRIM(AJ141&amp;"")&lt;&gt;"",AND(Skills!$B$10&lt;&gt;"",ISNUMBER(SEARCH(Skills!$B$10,AU141)))),1,0))</f>
        <v/>
      </c>
      <c r="BD141" s="23">
        <f>IF(AR141="","",IF(OR(TRIM(AK141&amp;"")&lt;&gt;"",AND(Skills!$B$11&lt;&gt;"",ISNUMBER(SEARCH(Skills!$B$11,AU141)))),1,0))</f>
        <v/>
      </c>
      <c r="BE141" s="23">
        <f>IF(AR141="","",IF(OR(TRIM(AL141&amp;"")&lt;&gt;"",AND(Skills!$B$12&lt;&gt;"",ISNUMBER(SEARCH(Skills!$B$12,AU141)))),1,0))</f>
        <v/>
      </c>
      <c r="BF141" s="23">
        <f>IF(AR141="","",IF(OR(TRIM(AM141&amp;"")&lt;&gt;"",AND(Skills!$B$13&lt;&gt;"",ISNUMBER(SEARCH(Skills!$B$13,AU141)))),1,0))</f>
        <v/>
      </c>
      <c r="BG141" s="23">
        <f>IF(AR141="","",IF(OR(TRIM(AN141&amp;"")&lt;&gt;"",AND(Skills!$B$14&lt;&gt;"",ISNUMBER(SEARCH(Skills!$B$14,AU141)))),1,0))</f>
        <v/>
      </c>
      <c r="BH141" s="23">
        <f>IF(AR141="","",IF(OR(TRIM(AO141&amp;"")&lt;&gt;"",AND(Skills!$B$15&lt;&gt;"",ISNUMBER(SEARCH(Skills!$B$15,AU141)))),1,0))</f>
        <v/>
      </c>
      <c r="BI141" s="23">
        <f>IF(AR141="","",IF(OR(TRIM(AP141&amp;"")&lt;&gt;"",AND(Skills!$B$16&lt;&gt;"",ISNUMBER(SEARCH(Skills!$B$16,AU141)))),1,0))</f>
        <v/>
      </c>
      <c r="BJ141" s="23">
        <f>IF(AR141="","",SUMPRODUCT($AX141:$BI141,Skills!$B$20:$M$20))</f>
        <v/>
      </c>
      <c r="BK141" s="23">
        <f>IF(AR141="","",BJ141*100000+(100000-ROW()))</f>
        <v/>
      </c>
      <c r="BL141" s="31">
        <f>IF(AR141="","",IF((IF(AND(AX141=1,Skills!$B$20=1),Skills!$B$5&amp;", ","")&amp;IF(AND(AY141=1,Skills!$C$20=1),Skills!$B$6&amp;", ","")&amp;IF(AND(AZ141=1,Skills!$D$20=1),Skills!$B$7&amp;", ","")&amp;IF(AND(BA141=1,Skills!$E$20=1),Skills!$B$8&amp;", ","")&amp;IF(AND(BB141=1,Skills!$F$20=1),Skills!$B$9&amp;", ","")&amp;IF(AND(BC141=1,Skills!$G$20=1),Skills!$B$10&amp;", ","")&amp;IF(AND(BD141=1,Skills!$H$20=1),Skills!$B$11&amp;", ","")&amp;IF(AND(BE141=1,Skills!$I$20=1),Skills!$B$12&amp;", ","")&amp;IF(AND(BF141=1,Skills!$J$20=1),Skills!$B$13&amp;", ","")&amp;IF(AND(BG141=1,Skills!$K$20=1),Skills!$B$14&amp;", ","")&amp;IF(AND(BH141=1,Skills!$L$20=1),Skills!$B$15&amp;", ","")&amp;IF(AND(BI141=1,Skills!$M$20=1),Skills!$B$16&amp;", ",""))="","",LEFT(IF(AND(AX141=1,Skills!$B$20=1),Skills!$B$5&amp;", ","")&amp;IF(AND(AY141=1,Skills!$C$20=1),Skills!$B$6&amp;", ","")&amp;IF(AND(AZ141=1,Skills!$D$20=1),Skills!$B$7&amp;", ","")&amp;IF(AND(BA141=1,Skills!$E$20=1),Skills!$B$8&amp;", ","")&amp;IF(AND(BB141=1,Skills!$F$20=1),Skills!$B$9&amp;", ","")&amp;IF(AND(BC141=1,Skills!$G$20=1),Skills!$B$10&amp;", ","")&amp;IF(AND(BD141=1,Skills!$H$20=1),Skills!$B$11&amp;", ","")&amp;IF(AND(BE141=1,Skills!$I$20=1),Skills!$B$12&amp;", ","")&amp;IF(AND(BF141=1,Skills!$J$20=1),Skills!$B$13&amp;", ","")&amp;IF(AND(BG141=1,Skills!$K$20=1),Skills!$B$14&amp;", ","")&amp;IF(AND(BH141=1,Skills!$L$20=1),Skills!$B$15&amp;", ","")&amp;IF(AND(BI141=1,Skills!$M$20=1),Skills!$B$16&amp;", ",""),LEN(IF(AND(AX141=1,Skills!$B$20=1),Skills!$B$5&amp;", ","")&amp;IF(AND(AY141=1,Skills!$C$20=1),Skills!$B$6&amp;", ","")&amp;IF(AND(AZ141=1,Skills!$D$20=1),Skills!$B$7&amp;", ","")&amp;IF(AND(BA141=1,Skills!$E$20=1),Skills!$B$8&amp;", ","")&amp;IF(AND(BB141=1,Skills!$F$20=1),Skills!$B$9&amp;", ","")&amp;IF(AND(BC141=1,Skills!$G$20=1),Skills!$B$10&amp;", ","")&amp;IF(AND(BD141=1,Skills!$H$20=1),Skills!$B$11&amp;", ","")&amp;IF(AND(BE141=1,Skills!$I$20=1),Skills!$B$12&amp;", ","")&amp;IF(AND(BF141=1,Skills!$J$20=1),Skills!$B$13&amp;", ","")&amp;IF(AND(BG141=1,Skills!$K$20=1),Skills!$B$14&amp;", ","")&amp;IF(AND(BH141=1,Skills!$L$20=1),Skills!$B$15&amp;", ","")&amp;IF(AND(BI141=1,Skills!$M$20=1),Skills!$B$16&amp;", ",""))-2)))</f>
        <v/>
      </c>
    </row>
    <row r="142">
      <c r="AD142" s="20" t="n"/>
      <c r="AE142" s="20" t="n"/>
      <c r="AF142" s="20" t="n"/>
      <c r="AG142" s="20" t="n"/>
      <c r="AH142" s="20" t="n"/>
      <c r="AI142" s="20" t="n"/>
      <c r="AJ142" s="20" t="n"/>
      <c r="AK142" s="20" t="n"/>
      <c r="AL142" s="20" t="n"/>
      <c r="AM142" s="20" t="n"/>
      <c r="AN142" s="20" t="n"/>
      <c r="AO142" s="20" t="n"/>
      <c r="AP142" s="20" t="n"/>
      <c r="AR142" s="31">
        <f>IF(IFERROR(TRIM(INDEX($A142:$AB142,MATCH(Lists!$B$5,$A$1:$AB$1,0))&amp;""),"")&lt;&gt;"",IFERROR(TRIM(INDEX($A142:$AB142,MATCH(Lists!$B$5,$A$1:$AB$1,0))&amp;""),""),IFERROR(TRIM(INDEX($A142:$AB142,MATCH(Lists!$B$3,$A$1:$AB$1,0))&amp;""),""))</f>
        <v/>
      </c>
      <c r="AS142" s="31">
        <f>IF(AR142="","",IF(IFERROR(TRIM(INDEX($A142:$AB142,MATCH(Lists!$B$5,$A$1:$AB$1,0))&amp;""),"")&lt;&gt;"","Nominated","Applied"))</f>
        <v/>
      </c>
      <c r="AT142" s="31">
        <f>IF(AR142="","",IF(IFERROR(TRIM(INDEX($A142:$AB142,MATCH(Lists!$B$5,$A$1:$AB$1,0))&amp;""),"")&lt;&gt;"",IFERROR(TRIM(INDEX($A142:$AB142,MATCH(Lists!$B$6,$A$1:$AB$1,0))&amp;""),""),IFERROR(TRIM(INDEX($A142:$AB142,MATCH(Lists!$B$4,$A$1:$AB$1,0))&amp;""),"")))</f>
        <v/>
      </c>
      <c r="AU142" s="31">
        <f>IF(AR142="","",IFERROR(TRIM(INDEX($A142:$AB142,MATCH(Lists!$B$7,$A$1:$AB$1,0))&amp;""),""))</f>
        <v/>
      </c>
      <c r="AV142" s="31">
        <f>IF(AR142="","",IFERROR(TRIM(INDEX($A142:$AB142,MATCH(Lists!$B$9,$A$1:$AB$1,0))&amp;""),""))</f>
        <v/>
      </c>
      <c r="AW142" s="31">
        <f>IF(AR142="","",IFERROR(TRIM(INDEX($A142:$AB142,MATCH(Lists!$B$8,$A$1:$AB$1,0))&amp;""),""))</f>
        <v/>
      </c>
      <c r="AX142" s="23">
        <f>IF(AR142="","",IF(OR(TRIM(AE142&amp;"")&lt;&gt;"",AND(Skills!$B$5&lt;&gt;"",ISNUMBER(SEARCH(Skills!$B$5,AU142)))),1,0))</f>
        <v/>
      </c>
      <c r="AY142" s="23">
        <f>IF(AR142="","",IF(OR(TRIM(AF142&amp;"")&lt;&gt;"",AND(Skills!$B$6&lt;&gt;"",ISNUMBER(SEARCH(Skills!$B$6,AU142)))),1,0))</f>
        <v/>
      </c>
      <c r="AZ142" s="23">
        <f>IF(AR142="","",IF(OR(TRIM(AG142&amp;"")&lt;&gt;"",AND(Skills!$B$7&lt;&gt;"",ISNUMBER(SEARCH(Skills!$B$7,AU142)))),1,0))</f>
        <v/>
      </c>
      <c r="BA142" s="23">
        <f>IF(AR142="","",IF(OR(TRIM(AH142&amp;"")&lt;&gt;"",AND(Skills!$B$8&lt;&gt;"",ISNUMBER(SEARCH(Skills!$B$8,AU142)))),1,0))</f>
        <v/>
      </c>
      <c r="BB142" s="23">
        <f>IF(AR142="","",IF(OR(TRIM(AI142&amp;"")&lt;&gt;"",AND(Skills!$B$9&lt;&gt;"",ISNUMBER(SEARCH(Skills!$B$9,AU142)))),1,0))</f>
        <v/>
      </c>
      <c r="BC142" s="23">
        <f>IF(AR142="","",IF(OR(TRIM(AJ142&amp;"")&lt;&gt;"",AND(Skills!$B$10&lt;&gt;"",ISNUMBER(SEARCH(Skills!$B$10,AU142)))),1,0))</f>
        <v/>
      </c>
      <c r="BD142" s="23">
        <f>IF(AR142="","",IF(OR(TRIM(AK142&amp;"")&lt;&gt;"",AND(Skills!$B$11&lt;&gt;"",ISNUMBER(SEARCH(Skills!$B$11,AU142)))),1,0))</f>
        <v/>
      </c>
      <c r="BE142" s="23">
        <f>IF(AR142="","",IF(OR(TRIM(AL142&amp;"")&lt;&gt;"",AND(Skills!$B$12&lt;&gt;"",ISNUMBER(SEARCH(Skills!$B$12,AU142)))),1,0))</f>
        <v/>
      </c>
      <c r="BF142" s="23">
        <f>IF(AR142="","",IF(OR(TRIM(AM142&amp;"")&lt;&gt;"",AND(Skills!$B$13&lt;&gt;"",ISNUMBER(SEARCH(Skills!$B$13,AU142)))),1,0))</f>
        <v/>
      </c>
      <c r="BG142" s="23">
        <f>IF(AR142="","",IF(OR(TRIM(AN142&amp;"")&lt;&gt;"",AND(Skills!$B$14&lt;&gt;"",ISNUMBER(SEARCH(Skills!$B$14,AU142)))),1,0))</f>
        <v/>
      </c>
      <c r="BH142" s="23">
        <f>IF(AR142="","",IF(OR(TRIM(AO142&amp;"")&lt;&gt;"",AND(Skills!$B$15&lt;&gt;"",ISNUMBER(SEARCH(Skills!$B$15,AU142)))),1,0))</f>
        <v/>
      </c>
      <c r="BI142" s="23">
        <f>IF(AR142="","",IF(OR(TRIM(AP142&amp;"")&lt;&gt;"",AND(Skills!$B$16&lt;&gt;"",ISNUMBER(SEARCH(Skills!$B$16,AU142)))),1,0))</f>
        <v/>
      </c>
      <c r="BJ142" s="23">
        <f>IF(AR142="","",SUMPRODUCT($AX142:$BI142,Skills!$B$20:$M$20))</f>
        <v/>
      </c>
      <c r="BK142" s="23">
        <f>IF(AR142="","",BJ142*100000+(100000-ROW()))</f>
        <v/>
      </c>
      <c r="BL142" s="31">
        <f>IF(AR142="","",IF((IF(AND(AX142=1,Skills!$B$20=1),Skills!$B$5&amp;", ","")&amp;IF(AND(AY142=1,Skills!$C$20=1),Skills!$B$6&amp;", ","")&amp;IF(AND(AZ142=1,Skills!$D$20=1),Skills!$B$7&amp;", ","")&amp;IF(AND(BA142=1,Skills!$E$20=1),Skills!$B$8&amp;", ","")&amp;IF(AND(BB142=1,Skills!$F$20=1),Skills!$B$9&amp;", ","")&amp;IF(AND(BC142=1,Skills!$G$20=1),Skills!$B$10&amp;", ","")&amp;IF(AND(BD142=1,Skills!$H$20=1),Skills!$B$11&amp;", ","")&amp;IF(AND(BE142=1,Skills!$I$20=1),Skills!$B$12&amp;", ","")&amp;IF(AND(BF142=1,Skills!$J$20=1),Skills!$B$13&amp;", ","")&amp;IF(AND(BG142=1,Skills!$K$20=1),Skills!$B$14&amp;", ","")&amp;IF(AND(BH142=1,Skills!$L$20=1),Skills!$B$15&amp;", ","")&amp;IF(AND(BI142=1,Skills!$M$20=1),Skills!$B$16&amp;", ",""))="","",LEFT(IF(AND(AX142=1,Skills!$B$20=1),Skills!$B$5&amp;", ","")&amp;IF(AND(AY142=1,Skills!$C$20=1),Skills!$B$6&amp;", ","")&amp;IF(AND(AZ142=1,Skills!$D$20=1),Skills!$B$7&amp;", ","")&amp;IF(AND(BA142=1,Skills!$E$20=1),Skills!$B$8&amp;", ","")&amp;IF(AND(BB142=1,Skills!$F$20=1),Skills!$B$9&amp;", ","")&amp;IF(AND(BC142=1,Skills!$G$20=1),Skills!$B$10&amp;", ","")&amp;IF(AND(BD142=1,Skills!$H$20=1),Skills!$B$11&amp;", ","")&amp;IF(AND(BE142=1,Skills!$I$20=1),Skills!$B$12&amp;", ","")&amp;IF(AND(BF142=1,Skills!$J$20=1),Skills!$B$13&amp;", ","")&amp;IF(AND(BG142=1,Skills!$K$20=1),Skills!$B$14&amp;", ","")&amp;IF(AND(BH142=1,Skills!$L$20=1),Skills!$B$15&amp;", ","")&amp;IF(AND(BI142=1,Skills!$M$20=1),Skills!$B$16&amp;", ",""),LEN(IF(AND(AX142=1,Skills!$B$20=1),Skills!$B$5&amp;", ","")&amp;IF(AND(AY142=1,Skills!$C$20=1),Skills!$B$6&amp;", ","")&amp;IF(AND(AZ142=1,Skills!$D$20=1),Skills!$B$7&amp;", ","")&amp;IF(AND(BA142=1,Skills!$E$20=1),Skills!$B$8&amp;", ","")&amp;IF(AND(BB142=1,Skills!$F$20=1),Skills!$B$9&amp;", ","")&amp;IF(AND(BC142=1,Skills!$G$20=1),Skills!$B$10&amp;", ","")&amp;IF(AND(BD142=1,Skills!$H$20=1),Skills!$B$11&amp;", ","")&amp;IF(AND(BE142=1,Skills!$I$20=1),Skills!$B$12&amp;", ","")&amp;IF(AND(BF142=1,Skills!$J$20=1),Skills!$B$13&amp;", ","")&amp;IF(AND(BG142=1,Skills!$K$20=1),Skills!$B$14&amp;", ","")&amp;IF(AND(BH142=1,Skills!$L$20=1),Skills!$B$15&amp;", ","")&amp;IF(AND(BI142=1,Skills!$M$20=1),Skills!$B$16&amp;", ",""))-2)))</f>
        <v/>
      </c>
    </row>
    <row r="143">
      <c r="AD143" s="20" t="n"/>
      <c r="AE143" s="20" t="n"/>
      <c r="AF143" s="20" t="n"/>
      <c r="AG143" s="20" t="n"/>
      <c r="AH143" s="20" t="n"/>
      <c r="AI143" s="20" t="n"/>
      <c r="AJ143" s="20" t="n"/>
      <c r="AK143" s="20" t="n"/>
      <c r="AL143" s="20" t="n"/>
      <c r="AM143" s="20" t="n"/>
      <c r="AN143" s="20" t="n"/>
      <c r="AO143" s="20" t="n"/>
      <c r="AP143" s="20" t="n"/>
      <c r="AR143" s="31">
        <f>IF(IFERROR(TRIM(INDEX($A143:$AB143,MATCH(Lists!$B$5,$A$1:$AB$1,0))&amp;""),"")&lt;&gt;"",IFERROR(TRIM(INDEX($A143:$AB143,MATCH(Lists!$B$5,$A$1:$AB$1,0))&amp;""),""),IFERROR(TRIM(INDEX($A143:$AB143,MATCH(Lists!$B$3,$A$1:$AB$1,0))&amp;""),""))</f>
        <v/>
      </c>
      <c r="AS143" s="31">
        <f>IF(AR143="","",IF(IFERROR(TRIM(INDEX($A143:$AB143,MATCH(Lists!$B$5,$A$1:$AB$1,0))&amp;""),"")&lt;&gt;"","Nominated","Applied"))</f>
        <v/>
      </c>
      <c r="AT143" s="31">
        <f>IF(AR143="","",IF(IFERROR(TRIM(INDEX($A143:$AB143,MATCH(Lists!$B$5,$A$1:$AB$1,0))&amp;""),"")&lt;&gt;"",IFERROR(TRIM(INDEX($A143:$AB143,MATCH(Lists!$B$6,$A$1:$AB$1,0))&amp;""),""),IFERROR(TRIM(INDEX($A143:$AB143,MATCH(Lists!$B$4,$A$1:$AB$1,0))&amp;""),"")))</f>
        <v/>
      </c>
      <c r="AU143" s="31">
        <f>IF(AR143="","",IFERROR(TRIM(INDEX($A143:$AB143,MATCH(Lists!$B$7,$A$1:$AB$1,0))&amp;""),""))</f>
        <v/>
      </c>
      <c r="AV143" s="31">
        <f>IF(AR143="","",IFERROR(TRIM(INDEX($A143:$AB143,MATCH(Lists!$B$9,$A$1:$AB$1,0))&amp;""),""))</f>
        <v/>
      </c>
      <c r="AW143" s="31">
        <f>IF(AR143="","",IFERROR(TRIM(INDEX($A143:$AB143,MATCH(Lists!$B$8,$A$1:$AB$1,0))&amp;""),""))</f>
        <v/>
      </c>
      <c r="AX143" s="23">
        <f>IF(AR143="","",IF(OR(TRIM(AE143&amp;"")&lt;&gt;"",AND(Skills!$B$5&lt;&gt;"",ISNUMBER(SEARCH(Skills!$B$5,AU143)))),1,0))</f>
        <v/>
      </c>
      <c r="AY143" s="23">
        <f>IF(AR143="","",IF(OR(TRIM(AF143&amp;"")&lt;&gt;"",AND(Skills!$B$6&lt;&gt;"",ISNUMBER(SEARCH(Skills!$B$6,AU143)))),1,0))</f>
        <v/>
      </c>
      <c r="AZ143" s="23">
        <f>IF(AR143="","",IF(OR(TRIM(AG143&amp;"")&lt;&gt;"",AND(Skills!$B$7&lt;&gt;"",ISNUMBER(SEARCH(Skills!$B$7,AU143)))),1,0))</f>
        <v/>
      </c>
      <c r="BA143" s="23">
        <f>IF(AR143="","",IF(OR(TRIM(AH143&amp;"")&lt;&gt;"",AND(Skills!$B$8&lt;&gt;"",ISNUMBER(SEARCH(Skills!$B$8,AU143)))),1,0))</f>
        <v/>
      </c>
      <c r="BB143" s="23">
        <f>IF(AR143="","",IF(OR(TRIM(AI143&amp;"")&lt;&gt;"",AND(Skills!$B$9&lt;&gt;"",ISNUMBER(SEARCH(Skills!$B$9,AU143)))),1,0))</f>
        <v/>
      </c>
      <c r="BC143" s="23">
        <f>IF(AR143="","",IF(OR(TRIM(AJ143&amp;"")&lt;&gt;"",AND(Skills!$B$10&lt;&gt;"",ISNUMBER(SEARCH(Skills!$B$10,AU143)))),1,0))</f>
        <v/>
      </c>
      <c r="BD143" s="23">
        <f>IF(AR143="","",IF(OR(TRIM(AK143&amp;"")&lt;&gt;"",AND(Skills!$B$11&lt;&gt;"",ISNUMBER(SEARCH(Skills!$B$11,AU143)))),1,0))</f>
        <v/>
      </c>
      <c r="BE143" s="23">
        <f>IF(AR143="","",IF(OR(TRIM(AL143&amp;"")&lt;&gt;"",AND(Skills!$B$12&lt;&gt;"",ISNUMBER(SEARCH(Skills!$B$12,AU143)))),1,0))</f>
        <v/>
      </c>
      <c r="BF143" s="23">
        <f>IF(AR143="","",IF(OR(TRIM(AM143&amp;"")&lt;&gt;"",AND(Skills!$B$13&lt;&gt;"",ISNUMBER(SEARCH(Skills!$B$13,AU143)))),1,0))</f>
        <v/>
      </c>
      <c r="BG143" s="23">
        <f>IF(AR143="","",IF(OR(TRIM(AN143&amp;"")&lt;&gt;"",AND(Skills!$B$14&lt;&gt;"",ISNUMBER(SEARCH(Skills!$B$14,AU143)))),1,0))</f>
        <v/>
      </c>
      <c r="BH143" s="23">
        <f>IF(AR143="","",IF(OR(TRIM(AO143&amp;"")&lt;&gt;"",AND(Skills!$B$15&lt;&gt;"",ISNUMBER(SEARCH(Skills!$B$15,AU143)))),1,0))</f>
        <v/>
      </c>
      <c r="BI143" s="23">
        <f>IF(AR143="","",IF(OR(TRIM(AP143&amp;"")&lt;&gt;"",AND(Skills!$B$16&lt;&gt;"",ISNUMBER(SEARCH(Skills!$B$16,AU143)))),1,0))</f>
        <v/>
      </c>
      <c r="BJ143" s="23">
        <f>IF(AR143="","",SUMPRODUCT($AX143:$BI143,Skills!$B$20:$M$20))</f>
        <v/>
      </c>
      <c r="BK143" s="23">
        <f>IF(AR143="","",BJ143*100000+(100000-ROW()))</f>
        <v/>
      </c>
      <c r="BL143" s="31">
        <f>IF(AR143="","",IF((IF(AND(AX143=1,Skills!$B$20=1),Skills!$B$5&amp;", ","")&amp;IF(AND(AY143=1,Skills!$C$20=1),Skills!$B$6&amp;", ","")&amp;IF(AND(AZ143=1,Skills!$D$20=1),Skills!$B$7&amp;", ","")&amp;IF(AND(BA143=1,Skills!$E$20=1),Skills!$B$8&amp;", ","")&amp;IF(AND(BB143=1,Skills!$F$20=1),Skills!$B$9&amp;", ","")&amp;IF(AND(BC143=1,Skills!$G$20=1),Skills!$B$10&amp;", ","")&amp;IF(AND(BD143=1,Skills!$H$20=1),Skills!$B$11&amp;", ","")&amp;IF(AND(BE143=1,Skills!$I$20=1),Skills!$B$12&amp;", ","")&amp;IF(AND(BF143=1,Skills!$J$20=1),Skills!$B$13&amp;", ","")&amp;IF(AND(BG143=1,Skills!$K$20=1),Skills!$B$14&amp;", ","")&amp;IF(AND(BH143=1,Skills!$L$20=1),Skills!$B$15&amp;", ","")&amp;IF(AND(BI143=1,Skills!$M$20=1),Skills!$B$16&amp;", ",""))="","",LEFT(IF(AND(AX143=1,Skills!$B$20=1),Skills!$B$5&amp;", ","")&amp;IF(AND(AY143=1,Skills!$C$20=1),Skills!$B$6&amp;", ","")&amp;IF(AND(AZ143=1,Skills!$D$20=1),Skills!$B$7&amp;", ","")&amp;IF(AND(BA143=1,Skills!$E$20=1),Skills!$B$8&amp;", ","")&amp;IF(AND(BB143=1,Skills!$F$20=1),Skills!$B$9&amp;", ","")&amp;IF(AND(BC143=1,Skills!$G$20=1),Skills!$B$10&amp;", ","")&amp;IF(AND(BD143=1,Skills!$H$20=1),Skills!$B$11&amp;", ","")&amp;IF(AND(BE143=1,Skills!$I$20=1),Skills!$B$12&amp;", ","")&amp;IF(AND(BF143=1,Skills!$J$20=1),Skills!$B$13&amp;", ","")&amp;IF(AND(BG143=1,Skills!$K$20=1),Skills!$B$14&amp;", ","")&amp;IF(AND(BH143=1,Skills!$L$20=1),Skills!$B$15&amp;", ","")&amp;IF(AND(BI143=1,Skills!$M$20=1),Skills!$B$16&amp;", ",""),LEN(IF(AND(AX143=1,Skills!$B$20=1),Skills!$B$5&amp;", ","")&amp;IF(AND(AY143=1,Skills!$C$20=1),Skills!$B$6&amp;", ","")&amp;IF(AND(AZ143=1,Skills!$D$20=1),Skills!$B$7&amp;", ","")&amp;IF(AND(BA143=1,Skills!$E$20=1),Skills!$B$8&amp;", ","")&amp;IF(AND(BB143=1,Skills!$F$20=1),Skills!$B$9&amp;", ","")&amp;IF(AND(BC143=1,Skills!$G$20=1),Skills!$B$10&amp;", ","")&amp;IF(AND(BD143=1,Skills!$H$20=1),Skills!$B$11&amp;", ","")&amp;IF(AND(BE143=1,Skills!$I$20=1),Skills!$B$12&amp;", ","")&amp;IF(AND(BF143=1,Skills!$J$20=1),Skills!$B$13&amp;", ","")&amp;IF(AND(BG143=1,Skills!$K$20=1),Skills!$B$14&amp;", ","")&amp;IF(AND(BH143=1,Skills!$L$20=1),Skills!$B$15&amp;", ","")&amp;IF(AND(BI143=1,Skills!$M$20=1),Skills!$B$16&amp;", ",""))-2)))</f>
        <v/>
      </c>
    </row>
    <row r="144">
      <c r="AD144" s="20" t="n"/>
      <c r="AE144" s="20" t="n"/>
      <c r="AF144" s="20" t="n"/>
      <c r="AG144" s="20" t="n"/>
      <c r="AH144" s="20" t="n"/>
      <c r="AI144" s="20" t="n"/>
      <c r="AJ144" s="20" t="n"/>
      <c r="AK144" s="20" t="n"/>
      <c r="AL144" s="20" t="n"/>
      <c r="AM144" s="20" t="n"/>
      <c r="AN144" s="20" t="n"/>
      <c r="AO144" s="20" t="n"/>
      <c r="AP144" s="20" t="n"/>
      <c r="AR144" s="31">
        <f>IF(IFERROR(TRIM(INDEX($A144:$AB144,MATCH(Lists!$B$5,$A$1:$AB$1,0))&amp;""),"")&lt;&gt;"",IFERROR(TRIM(INDEX($A144:$AB144,MATCH(Lists!$B$5,$A$1:$AB$1,0))&amp;""),""),IFERROR(TRIM(INDEX($A144:$AB144,MATCH(Lists!$B$3,$A$1:$AB$1,0))&amp;""),""))</f>
        <v/>
      </c>
      <c r="AS144" s="31">
        <f>IF(AR144="","",IF(IFERROR(TRIM(INDEX($A144:$AB144,MATCH(Lists!$B$5,$A$1:$AB$1,0))&amp;""),"")&lt;&gt;"","Nominated","Applied"))</f>
        <v/>
      </c>
      <c r="AT144" s="31">
        <f>IF(AR144="","",IF(IFERROR(TRIM(INDEX($A144:$AB144,MATCH(Lists!$B$5,$A$1:$AB$1,0))&amp;""),"")&lt;&gt;"",IFERROR(TRIM(INDEX($A144:$AB144,MATCH(Lists!$B$6,$A$1:$AB$1,0))&amp;""),""),IFERROR(TRIM(INDEX($A144:$AB144,MATCH(Lists!$B$4,$A$1:$AB$1,0))&amp;""),"")))</f>
        <v/>
      </c>
      <c r="AU144" s="31">
        <f>IF(AR144="","",IFERROR(TRIM(INDEX($A144:$AB144,MATCH(Lists!$B$7,$A$1:$AB$1,0))&amp;""),""))</f>
        <v/>
      </c>
      <c r="AV144" s="31">
        <f>IF(AR144="","",IFERROR(TRIM(INDEX($A144:$AB144,MATCH(Lists!$B$9,$A$1:$AB$1,0))&amp;""),""))</f>
        <v/>
      </c>
      <c r="AW144" s="31">
        <f>IF(AR144="","",IFERROR(TRIM(INDEX($A144:$AB144,MATCH(Lists!$B$8,$A$1:$AB$1,0))&amp;""),""))</f>
        <v/>
      </c>
      <c r="AX144" s="23">
        <f>IF(AR144="","",IF(OR(TRIM(AE144&amp;"")&lt;&gt;"",AND(Skills!$B$5&lt;&gt;"",ISNUMBER(SEARCH(Skills!$B$5,AU144)))),1,0))</f>
        <v/>
      </c>
      <c r="AY144" s="23">
        <f>IF(AR144="","",IF(OR(TRIM(AF144&amp;"")&lt;&gt;"",AND(Skills!$B$6&lt;&gt;"",ISNUMBER(SEARCH(Skills!$B$6,AU144)))),1,0))</f>
        <v/>
      </c>
      <c r="AZ144" s="23">
        <f>IF(AR144="","",IF(OR(TRIM(AG144&amp;"")&lt;&gt;"",AND(Skills!$B$7&lt;&gt;"",ISNUMBER(SEARCH(Skills!$B$7,AU144)))),1,0))</f>
        <v/>
      </c>
      <c r="BA144" s="23">
        <f>IF(AR144="","",IF(OR(TRIM(AH144&amp;"")&lt;&gt;"",AND(Skills!$B$8&lt;&gt;"",ISNUMBER(SEARCH(Skills!$B$8,AU144)))),1,0))</f>
        <v/>
      </c>
      <c r="BB144" s="23">
        <f>IF(AR144="","",IF(OR(TRIM(AI144&amp;"")&lt;&gt;"",AND(Skills!$B$9&lt;&gt;"",ISNUMBER(SEARCH(Skills!$B$9,AU144)))),1,0))</f>
        <v/>
      </c>
      <c r="BC144" s="23">
        <f>IF(AR144="","",IF(OR(TRIM(AJ144&amp;"")&lt;&gt;"",AND(Skills!$B$10&lt;&gt;"",ISNUMBER(SEARCH(Skills!$B$10,AU144)))),1,0))</f>
        <v/>
      </c>
      <c r="BD144" s="23">
        <f>IF(AR144="","",IF(OR(TRIM(AK144&amp;"")&lt;&gt;"",AND(Skills!$B$11&lt;&gt;"",ISNUMBER(SEARCH(Skills!$B$11,AU144)))),1,0))</f>
        <v/>
      </c>
      <c r="BE144" s="23">
        <f>IF(AR144="","",IF(OR(TRIM(AL144&amp;"")&lt;&gt;"",AND(Skills!$B$12&lt;&gt;"",ISNUMBER(SEARCH(Skills!$B$12,AU144)))),1,0))</f>
        <v/>
      </c>
      <c r="BF144" s="23">
        <f>IF(AR144="","",IF(OR(TRIM(AM144&amp;"")&lt;&gt;"",AND(Skills!$B$13&lt;&gt;"",ISNUMBER(SEARCH(Skills!$B$13,AU144)))),1,0))</f>
        <v/>
      </c>
      <c r="BG144" s="23">
        <f>IF(AR144="","",IF(OR(TRIM(AN144&amp;"")&lt;&gt;"",AND(Skills!$B$14&lt;&gt;"",ISNUMBER(SEARCH(Skills!$B$14,AU144)))),1,0))</f>
        <v/>
      </c>
      <c r="BH144" s="23">
        <f>IF(AR144="","",IF(OR(TRIM(AO144&amp;"")&lt;&gt;"",AND(Skills!$B$15&lt;&gt;"",ISNUMBER(SEARCH(Skills!$B$15,AU144)))),1,0))</f>
        <v/>
      </c>
      <c r="BI144" s="23">
        <f>IF(AR144="","",IF(OR(TRIM(AP144&amp;"")&lt;&gt;"",AND(Skills!$B$16&lt;&gt;"",ISNUMBER(SEARCH(Skills!$B$16,AU144)))),1,0))</f>
        <v/>
      </c>
      <c r="BJ144" s="23">
        <f>IF(AR144="","",SUMPRODUCT($AX144:$BI144,Skills!$B$20:$M$20))</f>
        <v/>
      </c>
      <c r="BK144" s="23">
        <f>IF(AR144="","",BJ144*100000+(100000-ROW()))</f>
        <v/>
      </c>
      <c r="BL144" s="31">
        <f>IF(AR144="","",IF((IF(AND(AX144=1,Skills!$B$20=1),Skills!$B$5&amp;", ","")&amp;IF(AND(AY144=1,Skills!$C$20=1),Skills!$B$6&amp;", ","")&amp;IF(AND(AZ144=1,Skills!$D$20=1),Skills!$B$7&amp;", ","")&amp;IF(AND(BA144=1,Skills!$E$20=1),Skills!$B$8&amp;", ","")&amp;IF(AND(BB144=1,Skills!$F$20=1),Skills!$B$9&amp;", ","")&amp;IF(AND(BC144=1,Skills!$G$20=1),Skills!$B$10&amp;", ","")&amp;IF(AND(BD144=1,Skills!$H$20=1),Skills!$B$11&amp;", ","")&amp;IF(AND(BE144=1,Skills!$I$20=1),Skills!$B$12&amp;", ","")&amp;IF(AND(BF144=1,Skills!$J$20=1),Skills!$B$13&amp;", ","")&amp;IF(AND(BG144=1,Skills!$K$20=1),Skills!$B$14&amp;", ","")&amp;IF(AND(BH144=1,Skills!$L$20=1),Skills!$B$15&amp;", ","")&amp;IF(AND(BI144=1,Skills!$M$20=1),Skills!$B$16&amp;", ",""))="","",LEFT(IF(AND(AX144=1,Skills!$B$20=1),Skills!$B$5&amp;", ","")&amp;IF(AND(AY144=1,Skills!$C$20=1),Skills!$B$6&amp;", ","")&amp;IF(AND(AZ144=1,Skills!$D$20=1),Skills!$B$7&amp;", ","")&amp;IF(AND(BA144=1,Skills!$E$20=1),Skills!$B$8&amp;", ","")&amp;IF(AND(BB144=1,Skills!$F$20=1),Skills!$B$9&amp;", ","")&amp;IF(AND(BC144=1,Skills!$G$20=1),Skills!$B$10&amp;", ","")&amp;IF(AND(BD144=1,Skills!$H$20=1),Skills!$B$11&amp;", ","")&amp;IF(AND(BE144=1,Skills!$I$20=1),Skills!$B$12&amp;", ","")&amp;IF(AND(BF144=1,Skills!$J$20=1),Skills!$B$13&amp;", ","")&amp;IF(AND(BG144=1,Skills!$K$20=1),Skills!$B$14&amp;", ","")&amp;IF(AND(BH144=1,Skills!$L$20=1),Skills!$B$15&amp;", ","")&amp;IF(AND(BI144=1,Skills!$M$20=1),Skills!$B$16&amp;", ",""),LEN(IF(AND(AX144=1,Skills!$B$20=1),Skills!$B$5&amp;", ","")&amp;IF(AND(AY144=1,Skills!$C$20=1),Skills!$B$6&amp;", ","")&amp;IF(AND(AZ144=1,Skills!$D$20=1),Skills!$B$7&amp;", ","")&amp;IF(AND(BA144=1,Skills!$E$20=1),Skills!$B$8&amp;", ","")&amp;IF(AND(BB144=1,Skills!$F$20=1),Skills!$B$9&amp;", ","")&amp;IF(AND(BC144=1,Skills!$G$20=1),Skills!$B$10&amp;", ","")&amp;IF(AND(BD144=1,Skills!$H$20=1),Skills!$B$11&amp;", ","")&amp;IF(AND(BE144=1,Skills!$I$20=1),Skills!$B$12&amp;", ","")&amp;IF(AND(BF144=1,Skills!$J$20=1),Skills!$B$13&amp;", ","")&amp;IF(AND(BG144=1,Skills!$K$20=1),Skills!$B$14&amp;", ","")&amp;IF(AND(BH144=1,Skills!$L$20=1),Skills!$B$15&amp;", ","")&amp;IF(AND(BI144=1,Skills!$M$20=1),Skills!$B$16&amp;", ",""))-2)))</f>
        <v/>
      </c>
    </row>
    <row r="145">
      <c r="AD145" s="20" t="n"/>
      <c r="AE145" s="20" t="n"/>
      <c r="AF145" s="20" t="n"/>
      <c r="AG145" s="20" t="n"/>
      <c r="AH145" s="20" t="n"/>
      <c r="AI145" s="20" t="n"/>
      <c r="AJ145" s="20" t="n"/>
      <c r="AK145" s="20" t="n"/>
      <c r="AL145" s="20" t="n"/>
      <c r="AM145" s="20" t="n"/>
      <c r="AN145" s="20" t="n"/>
      <c r="AO145" s="20" t="n"/>
      <c r="AP145" s="20" t="n"/>
      <c r="AR145" s="31">
        <f>IF(IFERROR(TRIM(INDEX($A145:$AB145,MATCH(Lists!$B$5,$A$1:$AB$1,0))&amp;""),"")&lt;&gt;"",IFERROR(TRIM(INDEX($A145:$AB145,MATCH(Lists!$B$5,$A$1:$AB$1,0))&amp;""),""),IFERROR(TRIM(INDEX($A145:$AB145,MATCH(Lists!$B$3,$A$1:$AB$1,0))&amp;""),""))</f>
        <v/>
      </c>
      <c r="AS145" s="31">
        <f>IF(AR145="","",IF(IFERROR(TRIM(INDEX($A145:$AB145,MATCH(Lists!$B$5,$A$1:$AB$1,0))&amp;""),"")&lt;&gt;"","Nominated","Applied"))</f>
        <v/>
      </c>
      <c r="AT145" s="31">
        <f>IF(AR145="","",IF(IFERROR(TRIM(INDEX($A145:$AB145,MATCH(Lists!$B$5,$A$1:$AB$1,0))&amp;""),"")&lt;&gt;"",IFERROR(TRIM(INDEX($A145:$AB145,MATCH(Lists!$B$6,$A$1:$AB$1,0))&amp;""),""),IFERROR(TRIM(INDEX($A145:$AB145,MATCH(Lists!$B$4,$A$1:$AB$1,0))&amp;""),"")))</f>
        <v/>
      </c>
      <c r="AU145" s="31">
        <f>IF(AR145="","",IFERROR(TRIM(INDEX($A145:$AB145,MATCH(Lists!$B$7,$A$1:$AB$1,0))&amp;""),""))</f>
        <v/>
      </c>
      <c r="AV145" s="31">
        <f>IF(AR145="","",IFERROR(TRIM(INDEX($A145:$AB145,MATCH(Lists!$B$9,$A$1:$AB$1,0))&amp;""),""))</f>
        <v/>
      </c>
      <c r="AW145" s="31">
        <f>IF(AR145="","",IFERROR(TRIM(INDEX($A145:$AB145,MATCH(Lists!$B$8,$A$1:$AB$1,0))&amp;""),""))</f>
        <v/>
      </c>
      <c r="AX145" s="23">
        <f>IF(AR145="","",IF(OR(TRIM(AE145&amp;"")&lt;&gt;"",AND(Skills!$B$5&lt;&gt;"",ISNUMBER(SEARCH(Skills!$B$5,AU145)))),1,0))</f>
        <v/>
      </c>
      <c r="AY145" s="23">
        <f>IF(AR145="","",IF(OR(TRIM(AF145&amp;"")&lt;&gt;"",AND(Skills!$B$6&lt;&gt;"",ISNUMBER(SEARCH(Skills!$B$6,AU145)))),1,0))</f>
        <v/>
      </c>
      <c r="AZ145" s="23">
        <f>IF(AR145="","",IF(OR(TRIM(AG145&amp;"")&lt;&gt;"",AND(Skills!$B$7&lt;&gt;"",ISNUMBER(SEARCH(Skills!$B$7,AU145)))),1,0))</f>
        <v/>
      </c>
      <c r="BA145" s="23">
        <f>IF(AR145="","",IF(OR(TRIM(AH145&amp;"")&lt;&gt;"",AND(Skills!$B$8&lt;&gt;"",ISNUMBER(SEARCH(Skills!$B$8,AU145)))),1,0))</f>
        <v/>
      </c>
      <c r="BB145" s="23">
        <f>IF(AR145="","",IF(OR(TRIM(AI145&amp;"")&lt;&gt;"",AND(Skills!$B$9&lt;&gt;"",ISNUMBER(SEARCH(Skills!$B$9,AU145)))),1,0))</f>
        <v/>
      </c>
      <c r="BC145" s="23">
        <f>IF(AR145="","",IF(OR(TRIM(AJ145&amp;"")&lt;&gt;"",AND(Skills!$B$10&lt;&gt;"",ISNUMBER(SEARCH(Skills!$B$10,AU145)))),1,0))</f>
        <v/>
      </c>
      <c r="BD145" s="23">
        <f>IF(AR145="","",IF(OR(TRIM(AK145&amp;"")&lt;&gt;"",AND(Skills!$B$11&lt;&gt;"",ISNUMBER(SEARCH(Skills!$B$11,AU145)))),1,0))</f>
        <v/>
      </c>
      <c r="BE145" s="23">
        <f>IF(AR145="","",IF(OR(TRIM(AL145&amp;"")&lt;&gt;"",AND(Skills!$B$12&lt;&gt;"",ISNUMBER(SEARCH(Skills!$B$12,AU145)))),1,0))</f>
        <v/>
      </c>
      <c r="BF145" s="23">
        <f>IF(AR145="","",IF(OR(TRIM(AM145&amp;"")&lt;&gt;"",AND(Skills!$B$13&lt;&gt;"",ISNUMBER(SEARCH(Skills!$B$13,AU145)))),1,0))</f>
        <v/>
      </c>
      <c r="BG145" s="23">
        <f>IF(AR145="","",IF(OR(TRIM(AN145&amp;"")&lt;&gt;"",AND(Skills!$B$14&lt;&gt;"",ISNUMBER(SEARCH(Skills!$B$14,AU145)))),1,0))</f>
        <v/>
      </c>
      <c r="BH145" s="23">
        <f>IF(AR145="","",IF(OR(TRIM(AO145&amp;"")&lt;&gt;"",AND(Skills!$B$15&lt;&gt;"",ISNUMBER(SEARCH(Skills!$B$15,AU145)))),1,0))</f>
        <v/>
      </c>
      <c r="BI145" s="23">
        <f>IF(AR145="","",IF(OR(TRIM(AP145&amp;"")&lt;&gt;"",AND(Skills!$B$16&lt;&gt;"",ISNUMBER(SEARCH(Skills!$B$16,AU145)))),1,0))</f>
        <v/>
      </c>
      <c r="BJ145" s="23">
        <f>IF(AR145="","",SUMPRODUCT($AX145:$BI145,Skills!$B$20:$M$20))</f>
        <v/>
      </c>
      <c r="BK145" s="23">
        <f>IF(AR145="","",BJ145*100000+(100000-ROW()))</f>
        <v/>
      </c>
      <c r="BL145" s="31">
        <f>IF(AR145="","",IF((IF(AND(AX145=1,Skills!$B$20=1),Skills!$B$5&amp;", ","")&amp;IF(AND(AY145=1,Skills!$C$20=1),Skills!$B$6&amp;", ","")&amp;IF(AND(AZ145=1,Skills!$D$20=1),Skills!$B$7&amp;", ","")&amp;IF(AND(BA145=1,Skills!$E$20=1),Skills!$B$8&amp;", ","")&amp;IF(AND(BB145=1,Skills!$F$20=1),Skills!$B$9&amp;", ","")&amp;IF(AND(BC145=1,Skills!$G$20=1),Skills!$B$10&amp;", ","")&amp;IF(AND(BD145=1,Skills!$H$20=1),Skills!$B$11&amp;", ","")&amp;IF(AND(BE145=1,Skills!$I$20=1),Skills!$B$12&amp;", ","")&amp;IF(AND(BF145=1,Skills!$J$20=1),Skills!$B$13&amp;", ","")&amp;IF(AND(BG145=1,Skills!$K$20=1),Skills!$B$14&amp;", ","")&amp;IF(AND(BH145=1,Skills!$L$20=1),Skills!$B$15&amp;", ","")&amp;IF(AND(BI145=1,Skills!$M$20=1),Skills!$B$16&amp;", ",""))="","",LEFT(IF(AND(AX145=1,Skills!$B$20=1),Skills!$B$5&amp;", ","")&amp;IF(AND(AY145=1,Skills!$C$20=1),Skills!$B$6&amp;", ","")&amp;IF(AND(AZ145=1,Skills!$D$20=1),Skills!$B$7&amp;", ","")&amp;IF(AND(BA145=1,Skills!$E$20=1),Skills!$B$8&amp;", ","")&amp;IF(AND(BB145=1,Skills!$F$20=1),Skills!$B$9&amp;", ","")&amp;IF(AND(BC145=1,Skills!$G$20=1),Skills!$B$10&amp;", ","")&amp;IF(AND(BD145=1,Skills!$H$20=1),Skills!$B$11&amp;", ","")&amp;IF(AND(BE145=1,Skills!$I$20=1),Skills!$B$12&amp;", ","")&amp;IF(AND(BF145=1,Skills!$J$20=1),Skills!$B$13&amp;", ","")&amp;IF(AND(BG145=1,Skills!$K$20=1),Skills!$B$14&amp;", ","")&amp;IF(AND(BH145=1,Skills!$L$20=1),Skills!$B$15&amp;", ","")&amp;IF(AND(BI145=1,Skills!$M$20=1),Skills!$B$16&amp;", ",""),LEN(IF(AND(AX145=1,Skills!$B$20=1),Skills!$B$5&amp;", ","")&amp;IF(AND(AY145=1,Skills!$C$20=1),Skills!$B$6&amp;", ","")&amp;IF(AND(AZ145=1,Skills!$D$20=1),Skills!$B$7&amp;", ","")&amp;IF(AND(BA145=1,Skills!$E$20=1),Skills!$B$8&amp;", ","")&amp;IF(AND(BB145=1,Skills!$F$20=1),Skills!$B$9&amp;", ","")&amp;IF(AND(BC145=1,Skills!$G$20=1),Skills!$B$10&amp;", ","")&amp;IF(AND(BD145=1,Skills!$H$20=1),Skills!$B$11&amp;", ","")&amp;IF(AND(BE145=1,Skills!$I$20=1),Skills!$B$12&amp;", ","")&amp;IF(AND(BF145=1,Skills!$J$20=1),Skills!$B$13&amp;", ","")&amp;IF(AND(BG145=1,Skills!$K$20=1),Skills!$B$14&amp;", ","")&amp;IF(AND(BH145=1,Skills!$L$20=1),Skills!$B$15&amp;", ","")&amp;IF(AND(BI145=1,Skills!$M$20=1),Skills!$B$16&amp;", ",""))-2)))</f>
        <v/>
      </c>
    </row>
    <row r="146">
      <c r="AD146" s="20" t="n"/>
      <c r="AE146" s="20" t="n"/>
      <c r="AF146" s="20" t="n"/>
      <c r="AG146" s="20" t="n"/>
      <c r="AH146" s="20" t="n"/>
      <c r="AI146" s="20" t="n"/>
      <c r="AJ146" s="20" t="n"/>
      <c r="AK146" s="20" t="n"/>
      <c r="AL146" s="20" t="n"/>
      <c r="AM146" s="20" t="n"/>
      <c r="AN146" s="20" t="n"/>
      <c r="AO146" s="20" t="n"/>
      <c r="AP146" s="20" t="n"/>
      <c r="AR146" s="31">
        <f>IF(IFERROR(TRIM(INDEX($A146:$AB146,MATCH(Lists!$B$5,$A$1:$AB$1,0))&amp;""),"")&lt;&gt;"",IFERROR(TRIM(INDEX($A146:$AB146,MATCH(Lists!$B$5,$A$1:$AB$1,0))&amp;""),""),IFERROR(TRIM(INDEX($A146:$AB146,MATCH(Lists!$B$3,$A$1:$AB$1,0))&amp;""),""))</f>
        <v/>
      </c>
      <c r="AS146" s="31">
        <f>IF(AR146="","",IF(IFERROR(TRIM(INDEX($A146:$AB146,MATCH(Lists!$B$5,$A$1:$AB$1,0))&amp;""),"")&lt;&gt;"","Nominated","Applied"))</f>
        <v/>
      </c>
      <c r="AT146" s="31">
        <f>IF(AR146="","",IF(IFERROR(TRIM(INDEX($A146:$AB146,MATCH(Lists!$B$5,$A$1:$AB$1,0))&amp;""),"")&lt;&gt;"",IFERROR(TRIM(INDEX($A146:$AB146,MATCH(Lists!$B$6,$A$1:$AB$1,0))&amp;""),""),IFERROR(TRIM(INDEX($A146:$AB146,MATCH(Lists!$B$4,$A$1:$AB$1,0))&amp;""),"")))</f>
        <v/>
      </c>
      <c r="AU146" s="31">
        <f>IF(AR146="","",IFERROR(TRIM(INDEX($A146:$AB146,MATCH(Lists!$B$7,$A$1:$AB$1,0))&amp;""),""))</f>
        <v/>
      </c>
      <c r="AV146" s="31">
        <f>IF(AR146="","",IFERROR(TRIM(INDEX($A146:$AB146,MATCH(Lists!$B$9,$A$1:$AB$1,0))&amp;""),""))</f>
        <v/>
      </c>
      <c r="AW146" s="31">
        <f>IF(AR146="","",IFERROR(TRIM(INDEX($A146:$AB146,MATCH(Lists!$B$8,$A$1:$AB$1,0))&amp;""),""))</f>
        <v/>
      </c>
      <c r="AX146" s="23">
        <f>IF(AR146="","",IF(OR(TRIM(AE146&amp;"")&lt;&gt;"",AND(Skills!$B$5&lt;&gt;"",ISNUMBER(SEARCH(Skills!$B$5,AU146)))),1,0))</f>
        <v/>
      </c>
      <c r="AY146" s="23">
        <f>IF(AR146="","",IF(OR(TRIM(AF146&amp;"")&lt;&gt;"",AND(Skills!$B$6&lt;&gt;"",ISNUMBER(SEARCH(Skills!$B$6,AU146)))),1,0))</f>
        <v/>
      </c>
      <c r="AZ146" s="23">
        <f>IF(AR146="","",IF(OR(TRIM(AG146&amp;"")&lt;&gt;"",AND(Skills!$B$7&lt;&gt;"",ISNUMBER(SEARCH(Skills!$B$7,AU146)))),1,0))</f>
        <v/>
      </c>
      <c r="BA146" s="23">
        <f>IF(AR146="","",IF(OR(TRIM(AH146&amp;"")&lt;&gt;"",AND(Skills!$B$8&lt;&gt;"",ISNUMBER(SEARCH(Skills!$B$8,AU146)))),1,0))</f>
        <v/>
      </c>
      <c r="BB146" s="23">
        <f>IF(AR146="","",IF(OR(TRIM(AI146&amp;"")&lt;&gt;"",AND(Skills!$B$9&lt;&gt;"",ISNUMBER(SEARCH(Skills!$B$9,AU146)))),1,0))</f>
        <v/>
      </c>
      <c r="BC146" s="23">
        <f>IF(AR146="","",IF(OR(TRIM(AJ146&amp;"")&lt;&gt;"",AND(Skills!$B$10&lt;&gt;"",ISNUMBER(SEARCH(Skills!$B$10,AU146)))),1,0))</f>
        <v/>
      </c>
      <c r="BD146" s="23">
        <f>IF(AR146="","",IF(OR(TRIM(AK146&amp;"")&lt;&gt;"",AND(Skills!$B$11&lt;&gt;"",ISNUMBER(SEARCH(Skills!$B$11,AU146)))),1,0))</f>
        <v/>
      </c>
      <c r="BE146" s="23">
        <f>IF(AR146="","",IF(OR(TRIM(AL146&amp;"")&lt;&gt;"",AND(Skills!$B$12&lt;&gt;"",ISNUMBER(SEARCH(Skills!$B$12,AU146)))),1,0))</f>
        <v/>
      </c>
      <c r="BF146" s="23">
        <f>IF(AR146="","",IF(OR(TRIM(AM146&amp;"")&lt;&gt;"",AND(Skills!$B$13&lt;&gt;"",ISNUMBER(SEARCH(Skills!$B$13,AU146)))),1,0))</f>
        <v/>
      </c>
      <c r="BG146" s="23">
        <f>IF(AR146="","",IF(OR(TRIM(AN146&amp;"")&lt;&gt;"",AND(Skills!$B$14&lt;&gt;"",ISNUMBER(SEARCH(Skills!$B$14,AU146)))),1,0))</f>
        <v/>
      </c>
      <c r="BH146" s="23">
        <f>IF(AR146="","",IF(OR(TRIM(AO146&amp;"")&lt;&gt;"",AND(Skills!$B$15&lt;&gt;"",ISNUMBER(SEARCH(Skills!$B$15,AU146)))),1,0))</f>
        <v/>
      </c>
      <c r="BI146" s="23">
        <f>IF(AR146="","",IF(OR(TRIM(AP146&amp;"")&lt;&gt;"",AND(Skills!$B$16&lt;&gt;"",ISNUMBER(SEARCH(Skills!$B$16,AU146)))),1,0))</f>
        <v/>
      </c>
      <c r="BJ146" s="23">
        <f>IF(AR146="","",SUMPRODUCT($AX146:$BI146,Skills!$B$20:$M$20))</f>
        <v/>
      </c>
      <c r="BK146" s="23">
        <f>IF(AR146="","",BJ146*100000+(100000-ROW()))</f>
        <v/>
      </c>
      <c r="BL146" s="31">
        <f>IF(AR146="","",IF((IF(AND(AX146=1,Skills!$B$20=1),Skills!$B$5&amp;", ","")&amp;IF(AND(AY146=1,Skills!$C$20=1),Skills!$B$6&amp;", ","")&amp;IF(AND(AZ146=1,Skills!$D$20=1),Skills!$B$7&amp;", ","")&amp;IF(AND(BA146=1,Skills!$E$20=1),Skills!$B$8&amp;", ","")&amp;IF(AND(BB146=1,Skills!$F$20=1),Skills!$B$9&amp;", ","")&amp;IF(AND(BC146=1,Skills!$G$20=1),Skills!$B$10&amp;", ","")&amp;IF(AND(BD146=1,Skills!$H$20=1),Skills!$B$11&amp;", ","")&amp;IF(AND(BE146=1,Skills!$I$20=1),Skills!$B$12&amp;", ","")&amp;IF(AND(BF146=1,Skills!$J$20=1),Skills!$B$13&amp;", ","")&amp;IF(AND(BG146=1,Skills!$K$20=1),Skills!$B$14&amp;", ","")&amp;IF(AND(BH146=1,Skills!$L$20=1),Skills!$B$15&amp;", ","")&amp;IF(AND(BI146=1,Skills!$M$20=1),Skills!$B$16&amp;", ",""))="","",LEFT(IF(AND(AX146=1,Skills!$B$20=1),Skills!$B$5&amp;", ","")&amp;IF(AND(AY146=1,Skills!$C$20=1),Skills!$B$6&amp;", ","")&amp;IF(AND(AZ146=1,Skills!$D$20=1),Skills!$B$7&amp;", ","")&amp;IF(AND(BA146=1,Skills!$E$20=1),Skills!$B$8&amp;", ","")&amp;IF(AND(BB146=1,Skills!$F$20=1),Skills!$B$9&amp;", ","")&amp;IF(AND(BC146=1,Skills!$G$20=1),Skills!$B$10&amp;", ","")&amp;IF(AND(BD146=1,Skills!$H$20=1),Skills!$B$11&amp;", ","")&amp;IF(AND(BE146=1,Skills!$I$20=1),Skills!$B$12&amp;", ","")&amp;IF(AND(BF146=1,Skills!$J$20=1),Skills!$B$13&amp;", ","")&amp;IF(AND(BG146=1,Skills!$K$20=1),Skills!$B$14&amp;", ","")&amp;IF(AND(BH146=1,Skills!$L$20=1),Skills!$B$15&amp;", ","")&amp;IF(AND(BI146=1,Skills!$M$20=1),Skills!$B$16&amp;", ",""),LEN(IF(AND(AX146=1,Skills!$B$20=1),Skills!$B$5&amp;", ","")&amp;IF(AND(AY146=1,Skills!$C$20=1),Skills!$B$6&amp;", ","")&amp;IF(AND(AZ146=1,Skills!$D$20=1),Skills!$B$7&amp;", ","")&amp;IF(AND(BA146=1,Skills!$E$20=1),Skills!$B$8&amp;", ","")&amp;IF(AND(BB146=1,Skills!$F$20=1),Skills!$B$9&amp;", ","")&amp;IF(AND(BC146=1,Skills!$G$20=1),Skills!$B$10&amp;", ","")&amp;IF(AND(BD146=1,Skills!$H$20=1),Skills!$B$11&amp;", ","")&amp;IF(AND(BE146=1,Skills!$I$20=1),Skills!$B$12&amp;", ","")&amp;IF(AND(BF146=1,Skills!$J$20=1),Skills!$B$13&amp;", ","")&amp;IF(AND(BG146=1,Skills!$K$20=1),Skills!$B$14&amp;", ","")&amp;IF(AND(BH146=1,Skills!$L$20=1),Skills!$B$15&amp;", ","")&amp;IF(AND(BI146=1,Skills!$M$20=1),Skills!$B$16&amp;", ",""))-2)))</f>
        <v/>
      </c>
    </row>
    <row r="147">
      <c r="AD147" s="20" t="n"/>
      <c r="AE147" s="20" t="n"/>
      <c r="AF147" s="20" t="n"/>
      <c r="AG147" s="20" t="n"/>
      <c r="AH147" s="20" t="n"/>
      <c r="AI147" s="20" t="n"/>
      <c r="AJ147" s="20" t="n"/>
      <c r="AK147" s="20" t="n"/>
      <c r="AL147" s="20" t="n"/>
      <c r="AM147" s="20" t="n"/>
      <c r="AN147" s="20" t="n"/>
      <c r="AO147" s="20" t="n"/>
      <c r="AP147" s="20" t="n"/>
      <c r="AR147" s="31">
        <f>IF(IFERROR(TRIM(INDEX($A147:$AB147,MATCH(Lists!$B$5,$A$1:$AB$1,0))&amp;""),"")&lt;&gt;"",IFERROR(TRIM(INDEX($A147:$AB147,MATCH(Lists!$B$5,$A$1:$AB$1,0))&amp;""),""),IFERROR(TRIM(INDEX($A147:$AB147,MATCH(Lists!$B$3,$A$1:$AB$1,0))&amp;""),""))</f>
        <v/>
      </c>
      <c r="AS147" s="31">
        <f>IF(AR147="","",IF(IFERROR(TRIM(INDEX($A147:$AB147,MATCH(Lists!$B$5,$A$1:$AB$1,0))&amp;""),"")&lt;&gt;"","Nominated","Applied"))</f>
        <v/>
      </c>
      <c r="AT147" s="31">
        <f>IF(AR147="","",IF(IFERROR(TRIM(INDEX($A147:$AB147,MATCH(Lists!$B$5,$A$1:$AB$1,0))&amp;""),"")&lt;&gt;"",IFERROR(TRIM(INDEX($A147:$AB147,MATCH(Lists!$B$6,$A$1:$AB$1,0))&amp;""),""),IFERROR(TRIM(INDEX($A147:$AB147,MATCH(Lists!$B$4,$A$1:$AB$1,0))&amp;""),"")))</f>
        <v/>
      </c>
      <c r="AU147" s="31">
        <f>IF(AR147="","",IFERROR(TRIM(INDEX($A147:$AB147,MATCH(Lists!$B$7,$A$1:$AB$1,0))&amp;""),""))</f>
        <v/>
      </c>
      <c r="AV147" s="31">
        <f>IF(AR147="","",IFERROR(TRIM(INDEX($A147:$AB147,MATCH(Lists!$B$9,$A$1:$AB$1,0))&amp;""),""))</f>
        <v/>
      </c>
      <c r="AW147" s="31">
        <f>IF(AR147="","",IFERROR(TRIM(INDEX($A147:$AB147,MATCH(Lists!$B$8,$A$1:$AB$1,0))&amp;""),""))</f>
        <v/>
      </c>
      <c r="AX147" s="23">
        <f>IF(AR147="","",IF(OR(TRIM(AE147&amp;"")&lt;&gt;"",AND(Skills!$B$5&lt;&gt;"",ISNUMBER(SEARCH(Skills!$B$5,AU147)))),1,0))</f>
        <v/>
      </c>
      <c r="AY147" s="23">
        <f>IF(AR147="","",IF(OR(TRIM(AF147&amp;"")&lt;&gt;"",AND(Skills!$B$6&lt;&gt;"",ISNUMBER(SEARCH(Skills!$B$6,AU147)))),1,0))</f>
        <v/>
      </c>
      <c r="AZ147" s="23">
        <f>IF(AR147="","",IF(OR(TRIM(AG147&amp;"")&lt;&gt;"",AND(Skills!$B$7&lt;&gt;"",ISNUMBER(SEARCH(Skills!$B$7,AU147)))),1,0))</f>
        <v/>
      </c>
      <c r="BA147" s="23">
        <f>IF(AR147="","",IF(OR(TRIM(AH147&amp;"")&lt;&gt;"",AND(Skills!$B$8&lt;&gt;"",ISNUMBER(SEARCH(Skills!$B$8,AU147)))),1,0))</f>
        <v/>
      </c>
      <c r="BB147" s="23">
        <f>IF(AR147="","",IF(OR(TRIM(AI147&amp;"")&lt;&gt;"",AND(Skills!$B$9&lt;&gt;"",ISNUMBER(SEARCH(Skills!$B$9,AU147)))),1,0))</f>
        <v/>
      </c>
      <c r="BC147" s="23">
        <f>IF(AR147="","",IF(OR(TRIM(AJ147&amp;"")&lt;&gt;"",AND(Skills!$B$10&lt;&gt;"",ISNUMBER(SEARCH(Skills!$B$10,AU147)))),1,0))</f>
        <v/>
      </c>
      <c r="BD147" s="23">
        <f>IF(AR147="","",IF(OR(TRIM(AK147&amp;"")&lt;&gt;"",AND(Skills!$B$11&lt;&gt;"",ISNUMBER(SEARCH(Skills!$B$11,AU147)))),1,0))</f>
        <v/>
      </c>
      <c r="BE147" s="23">
        <f>IF(AR147="","",IF(OR(TRIM(AL147&amp;"")&lt;&gt;"",AND(Skills!$B$12&lt;&gt;"",ISNUMBER(SEARCH(Skills!$B$12,AU147)))),1,0))</f>
        <v/>
      </c>
      <c r="BF147" s="23">
        <f>IF(AR147="","",IF(OR(TRIM(AM147&amp;"")&lt;&gt;"",AND(Skills!$B$13&lt;&gt;"",ISNUMBER(SEARCH(Skills!$B$13,AU147)))),1,0))</f>
        <v/>
      </c>
      <c r="BG147" s="23">
        <f>IF(AR147="","",IF(OR(TRIM(AN147&amp;"")&lt;&gt;"",AND(Skills!$B$14&lt;&gt;"",ISNUMBER(SEARCH(Skills!$B$14,AU147)))),1,0))</f>
        <v/>
      </c>
      <c r="BH147" s="23">
        <f>IF(AR147="","",IF(OR(TRIM(AO147&amp;"")&lt;&gt;"",AND(Skills!$B$15&lt;&gt;"",ISNUMBER(SEARCH(Skills!$B$15,AU147)))),1,0))</f>
        <v/>
      </c>
      <c r="BI147" s="23">
        <f>IF(AR147="","",IF(OR(TRIM(AP147&amp;"")&lt;&gt;"",AND(Skills!$B$16&lt;&gt;"",ISNUMBER(SEARCH(Skills!$B$16,AU147)))),1,0))</f>
        <v/>
      </c>
      <c r="BJ147" s="23">
        <f>IF(AR147="","",SUMPRODUCT($AX147:$BI147,Skills!$B$20:$M$20))</f>
        <v/>
      </c>
      <c r="BK147" s="23">
        <f>IF(AR147="","",BJ147*100000+(100000-ROW()))</f>
        <v/>
      </c>
      <c r="BL147" s="31">
        <f>IF(AR147="","",IF((IF(AND(AX147=1,Skills!$B$20=1),Skills!$B$5&amp;", ","")&amp;IF(AND(AY147=1,Skills!$C$20=1),Skills!$B$6&amp;", ","")&amp;IF(AND(AZ147=1,Skills!$D$20=1),Skills!$B$7&amp;", ","")&amp;IF(AND(BA147=1,Skills!$E$20=1),Skills!$B$8&amp;", ","")&amp;IF(AND(BB147=1,Skills!$F$20=1),Skills!$B$9&amp;", ","")&amp;IF(AND(BC147=1,Skills!$G$20=1),Skills!$B$10&amp;", ","")&amp;IF(AND(BD147=1,Skills!$H$20=1),Skills!$B$11&amp;", ","")&amp;IF(AND(BE147=1,Skills!$I$20=1),Skills!$B$12&amp;", ","")&amp;IF(AND(BF147=1,Skills!$J$20=1),Skills!$B$13&amp;", ","")&amp;IF(AND(BG147=1,Skills!$K$20=1),Skills!$B$14&amp;", ","")&amp;IF(AND(BH147=1,Skills!$L$20=1),Skills!$B$15&amp;", ","")&amp;IF(AND(BI147=1,Skills!$M$20=1),Skills!$B$16&amp;", ",""))="","",LEFT(IF(AND(AX147=1,Skills!$B$20=1),Skills!$B$5&amp;", ","")&amp;IF(AND(AY147=1,Skills!$C$20=1),Skills!$B$6&amp;", ","")&amp;IF(AND(AZ147=1,Skills!$D$20=1),Skills!$B$7&amp;", ","")&amp;IF(AND(BA147=1,Skills!$E$20=1),Skills!$B$8&amp;", ","")&amp;IF(AND(BB147=1,Skills!$F$20=1),Skills!$B$9&amp;", ","")&amp;IF(AND(BC147=1,Skills!$G$20=1),Skills!$B$10&amp;", ","")&amp;IF(AND(BD147=1,Skills!$H$20=1),Skills!$B$11&amp;", ","")&amp;IF(AND(BE147=1,Skills!$I$20=1),Skills!$B$12&amp;", ","")&amp;IF(AND(BF147=1,Skills!$J$20=1),Skills!$B$13&amp;", ","")&amp;IF(AND(BG147=1,Skills!$K$20=1),Skills!$B$14&amp;", ","")&amp;IF(AND(BH147=1,Skills!$L$20=1),Skills!$B$15&amp;", ","")&amp;IF(AND(BI147=1,Skills!$M$20=1),Skills!$B$16&amp;", ",""),LEN(IF(AND(AX147=1,Skills!$B$20=1),Skills!$B$5&amp;", ","")&amp;IF(AND(AY147=1,Skills!$C$20=1),Skills!$B$6&amp;", ","")&amp;IF(AND(AZ147=1,Skills!$D$20=1),Skills!$B$7&amp;", ","")&amp;IF(AND(BA147=1,Skills!$E$20=1),Skills!$B$8&amp;", ","")&amp;IF(AND(BB147=1,Skills!$F$20=1),Skills!$B$9&amp;", ","")&amp;IF(AND(BC147=1,Skills!$G$20=1),Skills!$B$10&amp;", ","")&amp;IF(AND(BD147=1,Skills!$H$20=1),Skills!$B$11&amp;", ","")&amp;IF(AND(BE147=1,Skills!$I$20=1),Skills!$B$12&amp;", ","")&amp;IF(AND(BF147=1,Skills!$J$20=1),Skills!$B$13&amp;", ","")&amp;IF(AND(BG147=1,Skills!$K$20=1),Skills!$B$14&amp;", ","")&amp;IF(AND(BH147=1,Skills!$L$20=1),Skills!$B$15&amp;", ","")&amp;IF(AND(BI147=1,Skills!$M$20=1),Skills!$B$16&amp;", ",""))-2)))</f>
        <v/>
      </c>
    </row>
    <row r="148">
      <c r="AD148" s="20" t="n"/>
      <c r="AE148" s="20" t="n"/>
      <c r="AF148" s="20" t="n"/>
      <c r="AG148" s="20" t="n"/>
      <c r="AH148" s="20" t="n"/>
      <c r="AI148" s="20" t="n"/>
      <c r="AJ148" s="20" t="n"/>
      <c r="AK148" s="20" t="n"/>
      <c r="AL148" s="20" t="n"/>
      <c r="AM148" s="20" t="n"/>
      <c r="AN148" s="20" t="n"/>
      <c r="AO148" s="20" t="n"/>
      <c r="AP148" s="20" t="n"/>
      <c r="AR148" s="31">
        <f>IF(IFERROR(TRIM(INDEX($A148:$AB148,MATCH(Lists!$B$5,$A$1:$AB$1,0))&amp;""),"")&lt;&gt;"",IFERROR(TRIM(INDEX($A148:$AB148,MATCH(Lists!$B$5,$A$1:$AB$1,0))&amp;""),""),IFERROR(TRIM(INDEX($A148:$AB148,MATCH(Lists!$B$3,$A$1:$AB$1,0))&amp;""),""))</f>
        <v/>
      </c>
      <c r="AS148" s="31">
        <f>IF(AR148="","",IF(IFERROR(TRIM(INDEX($A148:$AB148,MATCH(Lists!$B$5,$A$1:$AB$1,0))&amp;""),"")&lt;&gt;"","Nominated","Applied"))</f>
        <v/>
      </c>
      <c r="AT148" s="31">
        <f>IF(AR148="","",IF(IFERROR(TRIM(INDEX($A148:$AB148,MATCH(Lists!$B$5,$A$1:$AB$1,0))&amp;""),"")&lt;&gt;"",IFERROR(TRIM(INDEX($A148:$AB148,MATCH(Lists!$B$6,$A$1:$AB$1,0))&amp;""),""),IFERROR(TRIM(INDEX($A148:$AB148,MATCH(Lists!$B$4,$A$1:$AB$1,0))&amp;""),"")))</f>
        <v/>
      </c>
      <c r="AU148" s="31">
        <f>IF(AR148="","",IFERROR(TRIM(INDEX($A148:$AB148,MATCH(Lists!$B$7,$A$1:$AB$1,0))&amp;""),""))</f>
        <v/>
      </c>
      <c r="AV148" s="31">
        <f>IF(AR148="","",IFERROR(TRIM(INDEX($A148:$AB148,MATCH(Lists!$B$9,$A$1:$AB$1,0))&amp;""),""))</f>
        <v/>
      </c>
      <c r="AW148" s="31">
        <f>IF(AR148="","",IFERROR(TRIM(INDEX($A148:$AB148,MATCH(Lists!$B$8,$A$1:$AB$1,0))&amp;""),""))</f>
        <v/>
      </c>
      <c r="AX148" s="23">
        <f>IF(AR148="","",IF(OR(TRIM(AE148&amp;"")&lt;&gt;"",AND(Skills!$B$5&lt;&gt;"",ISNUMBER(SEARCH(Skills!$B$5,AU148)))),1,0))</f>
        <v/>
      </c>
      <c r="AY148" s="23">
        <f>IF(AR148="","",IF(OR(TRIM(AF148&amp;"")&lt;&gt;"",AND(Skills!$B$6&lt;&gt;"",ISNUMBER(SEARCH(Skills!$B$6,AU148)))),1,0))</f>
        <v/>
      </c>
      <c r="AZ148" s="23">
        <f>IF(AR148="","",IF(OR(TRIM(AG148&amp;"")&lt;&gt;"",AND(Skills!$B$7&lt;&gt;"",ISNUMBER(SEARCH(Skills!$B$7,AU148)))),1,0))</f>
        <v/>
      </c>
      <c r="BA148" s="23">
        <f>IF(AR148="","",IF(OR(TRIM(AH148&amp;"")&lt;&gt;"",AND(Skills!$B$8&lt;&gt;"",ISNUMBER(SEARCH(Skills!$B$8,AU148)))),1,0))</f>
        <v/>
      </c>
      <c r="BB148" s="23">
        <f>IF(AR148="","",IF(OR(TRIM(AI148&amp;"")&lt;&gt;"",AND(Skills!$B$9&lt;&gt;"",ISNUMBER(SEARCH(Skills!$B$9,AU148)))),1,0))</f>
        <v/>
      </c>
      <c r="BC148" s="23">
        <f>IF(AR148="","",IF(OR(TRIM(AJ148&amp;"")&lt;&gt;"",AND(Skills!$B$10&lt;&gt;"",ISNUMBER(SEARCH(Skills!$B$10,AU148)))),1,0))</f>
        <v/>
      </c>
      <c r="BD148" s="23">
        <f>IF(AR148="","",IF(OR(TRIM(AK148&amp;"")&lt;&gt;"",AND(Skills!$B$11&lt;&gt;"",ISNUMBER(SEARCH(Skills!$B$11,AU148)))),1,0))</f>
        <v/>
      </c>
      <c r="BE148" s="23">
        <f>IF(AR148="","",IF(OR(TRIM(AL148&amp;"")&lt;&gt;"",AND(Skills!$B$12&lt;&gt;"",ISNUMBER(SEARCH(Skills!$B$12,AU148)))),1,0))</f>
        <v/>
      </c>
      <c r="BF148" s="23">
        <f>IF(AR148="","",IF(OR(TRIM(AM148&amp;"")&lt;&gt;"",AND(Skills!$B$13&lt;&gt;"",ISNUMBER(SEARCH(Skills!$B$13,AU148)))),1,0))</f>
        <v/>
      </c>
      <c r="BG148" s="23">
        <f>IF(AR148="","",IF(OR(TRIM(AN148&amp;"")&lt;&gt;"",AND(Skills!$B$14&lt;&gt;"",ISNUMBER(SEARCH(Skills!$B$14,AU148)))),1,0))</f>
        <v/>
      </c>
      <c r="BH148" s="23">
        <f>IF(AR148="","",IF(OR(TRIM(AO148&amp;"")&lt;&gt;"",AND(Skills!$B$15&lt;&gt;"",ISNUMBER(SEARCH(Skills!$B$15,AU148)))),1,0))</f>
        <v/>
      </c>
      <c r="BI148" s="23">
        <f>IF(AR148="","",IF(OR(TRIM(AP148&amp;"")&lt;&gt;"",AND(Skills!$B$16&lt;&gt;"",ISNUMBER(SEARCH(Skills!$B$16,AU148)))),1,0))</f>
        <v/>
      </c>
      <c r="BJ148" s="23">
        <f>IF(AR148="","",SUMPRODUCT($AX148:$BI148,Skills!$B$20:$M$20))</f>
        <v/>
      </c>
      <c r="BK148" s="23">
        <f>IF(AR148="","",BJ148*100000+(100000-ROW()))</f>
        <v/>
      </c>
      <c r="BL148" s="31">
        <f>IF(AR148="","",IF((IF(AND(AX148=1,Skills!$B$20=1),Skills!$B$5&amp;", ","")&amp;IF(AND(AY148=1,Skills!$C$20=1),Skills!$B$6&amp;", ","")&amp;IF(AND(AZ148=1,Skills!$D$20=1),Skills!$B$7&amp;", ","")&amp;IF(AND(BA148=1,Skills!$E$20=1),Skills!$B$8&amp;", ","")&amp;IF(AND(BB148=1,Skills!$F$20=1),Skills!$B$9&amp;", ","")&amp;IF(AND(BC148=1,Skills!$G$20=1),Skills!$B$10&amp;", ","")&amp;IF(AND(BD148=1,Skills!$H$20=1),Skills!$B$11&amp;", ","")&amp;IF(AND(BE148=1,Skills!$I$20=1),Skills!$B$12&amp;", ","")&amp;IF(AND(BF148=1,Skills!$J$20=1),Skills!$B$13&amp;", ","")&amp;IF(AND(BG148=1,Skills!$K$20=1),Skills!$B$14&amp;", ","")&amp;IF(AND(BH148=1,Skills!$L$20=1),Skills!$B$15&amp;", ","")&amp;IF(AND(BI148=1,Skills!$M$20=1),Skills!$B$16&amp;", ",""))="","",LEFT(IF(AND(AX148=1,Skills!$B$20=1),Skills!$B$5&amp;", ","")&amp;IF(AND(AY148=1,Skills!$C$20=1),Skills!$B$6&amp;", ","")&amp;IF(AND(AZ148=1,Skills!$D$20=1),Skills!$B$7&amp;", ","")&amp;IF(AND(BA148=1,Skills!$E$20=1),Skills!$B$8&amp;", ","")&amp;IF(AND(BB148=1,Skills!$F$20=1),Skills!$B$9&amp;", ","")&amp;IF(AND(BC148=1,Skills!$G$20=1),Skills!$B$10&amp;", ","")&amp;IF(AND(BD148=1,Skills!$H$20=1),Skills!$B$11&amp;", ","")&amp;IF(AND(BE148=1,Skills!$I$20=1),Skills!$B$12&amp;", ","")&amp;IF(AND(BF148=1,Skills!$J$20=1),Skills!$B$13&amp;", ","")&amp;IF(AND(BG148=1,Skills!$K$20=1),Skills!$B$14&amp;", ","")&amp;IF(AND(BH148=1,Skills!$L$20=1),Skills!$B$15&amp;", ","")&amp;IF(AND(BI148=1,Skills!$M$20=1),Skills!$B$16&amp;", ",""),LEN(IF(AND(AX148=1,Skills!$B$20=1),Skills!$B$5&amp;", ","")&amp;IF(AND(AY148=1,Skills!$C$20=1),Skills!$B$6&amp;", ","")&amp;IF(AND(AZ148=1,Skills!$D$20=1),Skills!$B$7&amp;", ","")&amp;IF(AND(BA148=1,Skills!$E$20=1),Skills!$B$8&amp;", ","")&amp;IF(AND(BB148=1,Skills!$F$20=1),Skills!$B$9&amp;", ","")&amp;IF(AND(BC148=1,Skills!$G$20=1),Skills!$B$10&amp;", ","")&amp;IF(AND(BD148=1,Skills!$H$20=1),Skills!$B$11&amp;", ","")&amp;IF(AND(BE148=1,Skills!$I$20=1),Skills!$B$12&amp;", ","")&amp;IF(AND(BF148=1,Skills!$J$20=1),Skills!$B$13&amp;", ","")&amp;IF(AND(BG148=1,Skills!$K$20=1),Skills!$B$14&amp;", ","")&amp;IF(AND(BH148=1,Skills!$L$20=1),Skills!$B$15&amp;", ","")&amp;IF(AND(BI148=1,Skills!$M$20=1),Skills!$B$16&amp;", ",""))-2)))</f>
        <v/>
      </c>
    </row>
    <row r="149">
      <c r="AD149" s="20" t="n"/>
      <c r="AE149" s="20" t="n"/>
      <c r="AF149" s="20" t="n"/>
      <c r="AG149" s="20" t="n"/>
      <c r="AH149" s="20" t="n"/>
      <c r="AI149" s="20" t="n"/>
      <c r="AJ149" s="20" t="n"/>
      <c r="AK149" s="20" t="n"/>
      <c r="AL149" s="20" t="n"/>
      <c r="AM149" s="20" t="n"/>
      <c r="AN149" s="20" t="n"/>
      <c r="AO149" s="20" t="n"/>
      <c r="AP149" s="20" t="n"/>
      <c r="AR149" s="31">
        <f>IF(IFERROR(TRIM(INDEX($A149:$AB149,MATCH(Lists!$B$5,$A$1:$AB$1,0))&amp;""),"")&lt;&gt;"",IFERROR(TRIM(INDEX($A149:$AB149,MATCH(Lists!$B$5,$A$1:$AB$1,0))&amp;""),""),IFERROR(TRIM(INDEX($A149:$AB149,MATCH(Lists!$B$3,$A$1:$AB$1,0))&amp;""),""))</f>
        <v/>
      </c>
      <c r="AS149" s="31">
        <f>IF(AR149="","",IF(IFERROR(TRIM(INDEX($A149:$AB149,MATCH(Lists!$B$5,$A$1:$AB$1,0))&amp;""),"")&lt;&gt;"","Nominated","Applied"))</f>
        <v/>
      </c>
      <c r="AT149" s="31">
        <f>IF(AR149="","",IF(IFERROR(TRIM(INDEX($A149:$AB149,MATCH(Lists!$B$5,$A$1:$AB$1,0))&amp;""),"")&lt;&gt;"",IFERROR(TRIM(INDEX($A149:$AB149,MATCH(Lists!$B$6,$A$1:$AB$1,0))&amp;""),""),IFERROR(TRIM(INDEX($A149:$AB149,MATCH(Lists!$B$4,$A$1:$AB$1,0))&amp;""),"")))</f>
        <v/>
      </c>
      <c r="AU149" s="31">
        <f>IF(AR149="","",IFERROR(TRIM(INDEX($A149:$AB149,MATCH(Lists!$B$7,$A$1:$AB$1,0))&amp;""),""))</f>
        <v/>
      </c>
      <c r="AV149" s="31">
        <f>IF(AR149="","",IFERROR(TRIM(INDEX($A149:$AB149,MATCH(Lists!$B$9,$A$1:$AB$1,0))&amp;""),""))</f>
        <v/>
      </c>
      <c r="AW149" s="31">
        <f>IF(AR149="","",IFERROR(TRIM(INDEX($A149:$AB149,MATCH(Lists!$B$8,$A$1:$AB$1,0))&amp;""),""))</f>
        <v/>
      </c>
      <c r="AX149" s="23">
        <f>IF(AR149="","",IF(OR(TRIM(AE149&amp;"")&lt;&gt;"",AND(Skills!$B$5&lt;&gt;"",ISNUMBER(SEARCH(Skills!$B$5,AU149)))),1,0))</f>
        <v/>
      </c>
      <c r="AY149" s="23">
        <f>IF(AR149="","",IF(OR(TRIM(AF149&amp;"")&lt;&gt;"",AND(Skills!$B$6&lt;&gt;"",ISNUMBER(SEARCH(Skills!$B$6,AU149)))),1,0))</f>
        <v/>
      </c>
      <c r="AZ149" s="23">
        <f>IF(AR149="","",IF(OR(TRIM(AG149&amp;"")&lt;&gt;"",AND(Skills!$B$7&lt;&gt;"",ISNUMBER(SEARCH(Skills!$B$7,AU149)))),1,0))</f>
        <v/>
      </c>
      <c r="BA149" s="23">
        <f>IF(AR149="","",IF(OR(TRIM(AH149&amp;"")&lt;&gt;"",AND(Skills!$B$8&lt;&gt;"",ISNUMBER(SEARCH(Skills!$B$8,AU149)))),1,0))</f>
        <v/>
      </c>
      <c r="BB149" s="23">
        <f>IF(AR149="","",IF(OR(TRIM(AI149&amp;"")&lt;&gt;"",AND(Skills!$B$9&lt;&gt;"",ISNUMBER(SEARCH(Skills!$B$9,AU149)))),1,0))</f>
        <v/>
      </c>
      <c r="BC149" s="23">
        <f>IF(AR149="","",IF(OR(TRIM(AJ149&amp;"")&lt;&gt;"",AND(Skills!$B$10&lt;&gt;"",ISNUMBER(SEARCH(Skills!$B$10,AU149)))),1,0))</f>
        <v/>
      </c>
      <c r="BD149" s="23">
        <f>IF(AR149="","",IF(OR(TRIM(AK149&amp;"")&lt;&gt;"",AND(Skills!$B$11&lt;&gt;"",ISNUMBER(SEARCH(Skills!$B$11,AU149)))),1,0))</f>
        <v/>
      </c>
      <c r="BE149" s="23">
        <f>IF(AR149="","",IF(OR(TRIM(AL149&amp;"")&lt;&gt;"",AND(Skills!$B$12&lt;&gt;"",ISNUMBER(SEARCH(Skills!$B$12,AU149)))),1,0))</f>
        <v/>
      </c>
      <c r="BF149" s="23">
        <f>IF(AR149="","",IF(OR(TRIM(AM149&amp;"")&lt;&gt;"",AND(Skills!$B$13&lt;&gt;"",ISNUMBER(SEARCH(Skills!$B$13,AU149)))),1,0))</f>
        <v/>
      </c>
      <c r="BG149" s="23">
        <f>IF(AR149="","",IF(OR(TRIM(AN149&amp;"")&lt;&gt;"",AND(Skills!$B$14&lt;&gt;"",ISNUMBER(SEARCH(Skills!$B$14,AU149)))),1,0))</f>
        <v/>
      </c>
      <c r="BH149" s="23">
        <f>IF(AR149="","",IF(OR(TRIM(AO149&amp;"")&lt;&gt;"",AND(Skills!$B$15&lt;&gt;"",ISNUMBER(SEARCH(Skills!$B$15,AU149)))),1,0))</f>
        <v/>
      </c>
      <c r="BI149" s="23">
        <f>IF(AR149="","",IF(OR(TRIM(AP149&amp;"")&lt;&gt;"",AND(Skills!$B$16&lt;&gt;"",ISNUMBER(SEARCH(Skills!$B$16,AU149)))),1,0))</f>
        <v/>
      </c>
      <c r="BJ149" s="23">
        <f>IF(AR149="","",SUMPRODUCT($AX149:$BI149,Skills!$B$20:$M$20))</f>
        <v/>
      </c>
      <c r="BK149" s="23">
        <f>IF(AR149="","",BJ149*100000+(100000-ROW()))</f>
        <v/>
      </c>
      <c r="BL149" s="31">
        <f>IF(AR149="","",IF((IF(AND(AX149=1,Skills!$B$20=1),Skills!$B$5&amp;", ","")&amp;IF(AND(AY149=1,Skills!$C$20=1),Skills!$B$6&amp;", ","")&amp;IF(AND(AZ149=1,Skills!$D$20=1),Skills!$B$7&amp;", ","")&amp;IF(AND(BA149=1,Skills!$E$20=1),Skills!$B$8&amp;", ","")&amp;IF(AND(BB149=1,Skills!$F$20=1),Skills!$B$9&amp;", ","")&amp;IF(AND(BC149=1,Skills!$G$20=1),Skills!$B$10&amp;", ","")&amp;IF(AND(BD149=1,Skills!$H$20=1),Skills!$B$11&amp;", ","")&amp;IF(AND(BE149=1,Skills!$I$20=1),Skills!$B$12&amp;", ","")&amp;IF(AND(BF149=1,Skills!$J$20=1),Skills!$B$13&amp;", ","")&amp;IF(AND(BG149=1,Skills!$K$20=1),Skills!$B$14&amp;", ","")&amp;IF(AND(BH149=1,Skills!$L$20=1),Skills!$B$15&amp;", ","")&amp;IF(AND(BI149=1,Skills!$M$20=1),Skills!$B$16&amp;", ",""))="","",LEFT(IF(AND(AX149=1,Skills!$B$20=1),Skills!$B$5&amp;", ","")&amp;IF(AND(AY149=1,Skills!$C$20=1),Skills!$B$6&amp;", ","")&amp;IF(AND(AZ149=1,Skills!$D$20=1),Skills!$B$7&amp;", ","")&amp;IF(AND(BA149=1,Skills!$E$20=1),Skills!$B$8&amp;", ","")&amp;IF(AND(BB149=1,Skills!$F$20=1),Skills!$B$9&amp;", ","")&amp;IF(AND(BC149=1,Skills!$G$20=1),Skills!$B$10&amp;", ","")&amp;IF(AND(BD149=1,Skills!$H$20=1),Skills!$B$11&amp;", ","")&amp;IF(AND(BE149=1,Skills!$I$20=1),Skills!$B$12&amp;", ","")&amp;IF(AND(BF149=1,Skills!$J$20=1),Skills!$B$13&amp;", ","")&amp;IF(AND(BG149=1,Skills!$K$20=1),Skills!$B$14&amp;", ","")&amp;IF(AND(BH149=1,Skills!$L$20=1),Skills!$B$15&amp;", ","")&amp;IF(AND(BI149=1,Skills!$M$20=1),Skills!$B$16&amp;", ",""),LEN(IF(AND(AX149=1,Skills!$B$20=1),Skills!$B$5&amp;", ","")&amp;IF(AND(AY149=1,Skills!$C$20=1),Skills!$B$6&amp;", ","")&amp;IF(AND(AZ149=1,Skills!$D$20=1),Skills!$B$7&amp;", ","")&amp;IF(AND(BA149=1,Skills!$E$20=1),Skills!$B$8&amp;", ","")&amp;IF(AND(BB149=1,Skills!$F$20=1),Skills!$B$9&amp;", ","")&amp;IF(AND(BC149=1,Skills!$G$20=1),Skills!$B$10&amp;", ","")&amp;IF(AND(BD149=1,Skills!$H$20=1),Skills!$B$11&amp;", ","")&amp;IF(AND(BE149=1,Skills!$I$20=1),Skills!$B$12&amp;", ","")&amp;IF(AND(BF149=1,Skills!$J$20=1),Skills!$B$13&amp;", ","")&amp;IF(AND(BG149=1,Skills!$K$20=1),Skills!$B$14&amp;", ","")&amp;IF(AND(BH149=1,Skills!$L$20=1),Skills!$B$15&amp;", ","")&amp;IF(AND(BI149=1,Skills!$M$20=1),Skills!$B$16&amp;", ",""))-2)))</f>
        <v/>
      </c>
    </row>
    <row r="150">
      <c r="AD150" s="20" t="n"/>
      <c r="AE150" s="20" t="n"/>
      <c r="AF150" s="20" t="n"/>
      <c r="AG150" s="20" t="n"/>
      <c r="AH150" s="20" t="n"/>
      <c r="AI150" s="20" t="n"/>
      <c r="AJ150" s="20" t="n"/>
      <c r="AK150" s="20" t="n"/>
      <c r="AL150" s="20" t="n"/>
      <c r="AM150" s="20" t="n"/>
      <c r="AN150" s="20" t="n"/>
      <c r="AO150" s="20" t="n"/>
      <c r="AP150" s="20" t="n"/>
      <c r="AR150" s="31">
        <f>IF(IFERROR(TRIM(INDEX($A150:$AB150,MATCH(Lists!$B$5,$A$1:$AB$1,0))&amp;""),"")&lt;&gt;"",IFERROR(TRIM(INDEX($A150:$AB150,MATCH(Lists!$B$5,$A$1:$AB$1,0))&amp;""),""),IFERROR(TRIM(INDEX($A150:$AB150,MATCH(Lists!$B$3,$A$1:$AB$1,0))&amp;""),""))</f>
        <v/>
      </c>
      <c r="AS150" s="31">
        <f>IF(AR150="","",IF(IFERROR(TRIM(INDEX($A150:$AB150,MATCH(Lists!$B$5,$A$1:$AB$1,0))&amp;""),"")&lt;&gt;"","Nominated","Applied"))</f>
        <v/>
      </c>
      <c r="AT150" s="31">
        <f>IF(AR150="","",IF(IFERROR(TRIM(INDEX($A150:$AB150,MATCH(Lists!$B$5,$A$1:$AB$1,0))&amp;""),"")&lt;&gt;"",IFERROR(TRIM(INDEX($A150:$AB150,MATCH(Lists!$B$6,$A$1:$AB$1,0))&amp;""),""),IFERROR(TRIM(INDEX($A150:$AB150,MATCH(Lists!$B$4,$A$1:$AB$1,0))&amp;""),"")))</f>
        <v/>
      </c>
      <c r="AU150" s="31">
        <f>IF(AR150="","",IFERROR(TRIM(INDEX($A150:$AB150,MATCH(Lists!$B$7,$A$1:$AB$1,0))&amp;""),""))</f>
        <v/>
      </c>
      <c r="AV150" s="31">
        <f>IF(AR150="","",IFERROR(TRIM(INDEX($A150:$AB150,MATCH(Lists!$B$9,$A$1:$AB$1,0))&amp;""),""))</f>
        <v/>
      </c>
      <c r="AW150" s="31">
        <f>IF(AR150="","",IFERROR(TRIM(INDEX($A150:$AB150,MATCH(Lists!$B$8,$A$1:$AB$1,0))&amp;""),""))</f>
        <v/>
      </c>
      <c r="AX150" s="23">
        <f>IF(AR150="","",IF(OR(TRIM(AE150&amp;"")&lt;&gt;"",AND(Skills!$B$5&lt;&gt;"",ISNUMBER(SEARCH(Skills!$B$5,AU150)))),1,0))</f>
        <v/>
      </c>
      <c r="AY150" s="23">
        <f>IF(AR150="","",IF(OR(TRIM(AF150&amp;"")&lt;&gt;"",AND(Skills!$B$6&lt;&gt;"",ISNUMBER(SEARCH(Skills!$B$6,AU150)))),1,0))</f>
        <v/>
      </c>
      <c r="AZ150" s="23">
        <f>IF(AR150="","",IF(OR(TRIM(AG150&amp;"")&lt;&gt;"",AND(Skills!$B$7&lt;&gt;"",ISNUMBER(SEARCH(Skills!$B$7,AU150)))),1,0))</f>
        <v/>
      </c>
      <c r="BA150" s="23">
        <f>IF(AR150="","",IF(OR(TRIM(AH150&amp;"")&lt;&gt;"",AND(Skills!$B$8&lt;&gt;"",ISNUMBER(SEARCH(Skills!$B$8,AU150)))),1,0))</f>
        <v/>
      </c>
      <c r="BB150" s="23">
        <f>IF(AR150="","",IF(OR(TRIM(AI150&amp;"")&lt;&gt;"",AND(Skills!$B$9&lt;&gt;"",ISNUMBER(SEARCH(Skills!$B$9,AU150)))),1,0))</f>
        <v/>
      </c>
      <c r="BC150" s="23">
        <f>IF(AR150="","",IF(OR(TRIM(AJ150&amp;"")&lt;&gt;"",AND(Skills!$B$10&lt;&gt;"",ISNUMBER(SEARCH(Skills!$B$10,AU150)))),1,0))</f>
        <v/>
      </c>
      <c r="BD150" s="23">
        <f>IF(AR150="","",IF(OR(TRIM(AK150&amp;"")&lt;&gt;"",AND(Skills!$B$11&lt;&gt;"",ISNUMBER(SEARCH(Skills!$B$11,AU150)))),1,0))</f>
        <v/>
      </c>
      <c r="BE150" s="23">
        <f>IF(AR150="","",IF(OR(TRIM(AL150&amp;"")&lt;&gt;"",AND(Skills!$B$12&lt;&gt;"",ISNUMBER(SEARCH(Skills!$B$12,AU150)))),1,0))</f>
        <v/>
      </c>
      <c r="BF150" s="23">
        <f>IF(AR150="","",IF(OR(TRIM(AM150&amp;"")&lt;&gt;"",AND(Skills!$B$13&lt;&gt;"",ISNUMBER(SEARCH(Skills!$B$13,AU150)))),1,0))</f>
        <v/>
      </c>
      <c r="BG150" s="23">
        <f>IF(AR150="","",IF(OR(TRIM(AN150&amp;"")&lt;&gt;"",AND(Skills!$B$14&lt;&gt;"",ISNUMBER(SEARCH(Skills!$B$14,AU150)))),1,0))</f>
        <v/>
      </c>
      <c r="BH150" s="23">
        <f>IF(AR150="","",IF(OR(TRIM(AO150&amp;"")&lt;&gt;"",AND(Skills!$B$15&lt;&gt;"",ISNUMBER(SEARCH(Skills!$B$15,AU150)))),1,0))</f>
        <v/>
      </c>
      <c r="BI150" s="23">
        <f>IF(AR150="","",IF(OR(TRIM(AP150&amp;"")&lt;&gt;"",AND(Skills!$B$16&lt;&gt;"",ISNUMBER(SEARCH(Skills!$B$16,AU150)))),1,0))</f>
        <v/>
      </c>
      <c r="BJ150" s="23">
        <f>IF(AR150="","",SUMPRODUCT($AX150:$BI150,Skills!$B$20:$M$20))</f>
        <v/>
      </c>
      <c r="BK150" s="23">
        <f>IF(AR150="","",BJ150*100000+(100000-ROW()))</f>
        <v/>
      </c>
      <c r="BL150" s="31">
        <f>IF(AR150="","",IF((IF(AND(AX150=1,Skills!$B$20=1),Skills!$B$5&amp;", ","")&amp;IF(AND(AY150=1,Skills!$C$20=1),Skills!$B$6&amp;", ","")&amp;IF(AND(AZ150=1,Skills!$D$20=1),Skills!$B$7&amp;", ","")&amp;IF(AND(BA150=1,Skills!$E$20=1),Skills!$B$8&amp;", ","")&amp;IF(AND(BB150=1,Skills!$F$20=1),Skills!$B$9&amp;", ","")&amp;IF(AND(BC150=1,Skills!$G$20=1),Skills!$B$10&amp;", ","")&amp;IF(AND(BD150=1,Skills!$H$20=1),Skills!$B$11&amp;", ","")&amp;IF(AND(BE150=1,Skills!$I$20=1),Skills!$B$12&amp;", ","")&amp;IF(AND(BF150=1,Skills!$J$20=1),Skills!$B$13&amp;", ","")&amp;IF(AND(BG150=1,Skills!$K$20=1),Skills!$B$14&amp;", ","")&amp;IF(AND(BH150=1,Skills!$L$20=1),Skills!$B$15&amp;", ","")&amp;IF(AND(BI150=1,Skills!$M$20=1),Skills!$B$16&amp;", ",""))="","",LEFT(IF(AND(AX150=1,Skills!$B$20=1),Skills!$B$5&amp;", ","")&amp;IF(AND(AY150=1,Skills!$C$20=1),Skills!$B$6&amp;", ","")&amp;IF(AND(AZ150=1,Skills!$D$20=1),Skills!$B$7&amp;", ","")&amp;IF(AND(BA150=1,Skills!$E$20=1),Skills!$B$8&amp;", ","")&amp;IF(AND(BB150=1,Skills!$F$20=1),Skills!$B$9&amp;", ","")&amp;IF(AND(BC150=1,Skills!$G$20=1),Skills!$B$10&amp;", ","")&amp;IF(AND(BD150=1,Skills!$H$20=1),Skills!$B$11&amp;", ","")&amp;IF(AND(BE150=1,Skills!$I$20=1),Skills!$B$12&amp;", ","")&amp;IF(AND(BF150=1,Skills!$J$20=1),Skills!$B$13&amp;", ","")&amp;IF(AND(BG150=1,Skills!$K$20=1),Skills!$B$14&amp;", ","")&amp;IF(AND(BH150=1,Skills!$L$20=1),Skills!$B$15&amp;", ","")&amp;IF(AND(BI150=1,Skills!$M$20=1),Skills!$B$16&amp;", ",""),LEN(IF(AND(AX150=1,Skills!$B$20=1),Skills!$B$5&amp;", ","")&amp;IF(AND(AY150=1,Skills!$C$20=1),Skills!$B$6&amp;", ","")&amp;IF(AND(AZ150=1,Skills!$D$20=1),Skills!$B$7&amp;", ","")&amp;IF(AND(BA150=1,Skills!$E$20=1),Skills!$B$8&amp;", ","")&amp;IF(AND(BB150=1,Skills!$F$20=1),Skills!$B$9&amp;", ","")&amp;IF(AND(BC150=1,Skills!$G$20=1),Skills!$B$10&amp;", ","")&amp;IF(AND(BD150=1,Skills!$H$20=1),Skills!$B$11&amp;", ","")&amp;IF(AND(BE150=1,Skills!$I$20=1),Skills!$B$12&amp;", ","")&amp;IF(AND(BF150=1,Skills!$J$20=1),Skills!$B$13&amp;", ","")&amp;IF(AND(BG150=1,Skills!$K$20=1),Skills!$B$14&amp;", ","")&amp;IF(AND(BH150=1,Skills!$L$20=1),Skills!$B$15&amp;", ","")&amp;IF(AND(BI150=1,Skills!$M$20=1),Skills!$B$16&amp;", ",""))-2)))</f>
        <v/>
      </c>
    </row>
    <row r="151">
      <c r="AD151" s="20" t="n"/>
      <c r="AE151" s="20" t="n"/>
      <c r="AF151" s="20" t="n"/>
      <c r="AG151" s="20" t="n"/>
      <c r="AH151" s="20" t="n"/>
      <c r="AI151" s="20" t="n"/>
      <c r="AJ151" s="20" t="n"/>
      <c r="AK151" s="20" t="n"/>
      <c r="AL151" s="20" t="n"/>
      <c r="AM151" s="20" t="n"/>
      <c r="AN151" s="20" t="n"/>
      <c r="AO151" s="20" t="n"/>
      <c r="AP151" s="20" t="n"/>
      <c r="AR151" s="31">
        <f>IF(IFERROR(TRIM(INDEX($A151:$AB151,MATCH(Lists!$B$5,$A$1:$AB$1,0))&amp;""),"")&lt;&gt;"",IFERROR(TRIM(INDEX($A151:$AB151,MATCH(Lists!$B$5,$A$1:$AB$1,0))&amp;""),""),IFERROR(TRIM(INDEX($A151:$AB151,MATCH(Lists!$B$3,$A$1:$AB$1,0))&amp;""),""))</f>
        <v/>
      </c>
      <c r="AS151" s="31">
        <f>IF(AR151="","",IF(IFERROR(TRIM(INDEX($A151:$AB151,MATCH(Lists!$B$5,$A$1:$AB$1,0))&amp;""),"")&lt;&gt;"","Nominated","Applied"))</f>
        <v/>
      </c>
      <c r="AT151" s="31">
        <f>IF(AR151="","",IF(IFERROR(TRIM(INDEX($A151:$AB151,MATCH(Lists!$B$5,$A$1:$AB$1,0))&amp;""),"")&lt;&gt;"",IFERROR(TRIM(INDEX($A151:$AB151,MATCH(Lists!$B$6,$A$1:$AB$1,0))&amp;""),""),IFERROR(TRIM(INDEX($A151:$AB151,MATCH(Lists!$B$4,$A$1:$AB$1,0))&amp;""),"")))</f>
        <v/>
      </c>
      <c r="AU151" s="31">
        <f>IF(AR151="","",IFERROR(TRIM(INDEX($A151:$AB151,MATCH(Lists!$B$7,$A$1:$AB$1,0))&amp;""),""))</f>
        <v/>
      </c>
      <c r="AV151" s="31">
        <f>IF(AR151="","",IFERROR(TRIM(INDEX($A151:$AB151,MATCH(Lists!$B$9,$A$1:$AB$1,0))&amp;""),""))</f>
        <v/>
      </c>
      <c r="AW151" s="31">
        <f>IF(AR151="","",IFERROR(TRIM(INDEX($A151:$AB151,MATCH(Lists!$B$8,$A$1:$AB$1,0))&amp;""),""))</f>
        <v/>
      </c>
      <c r="AX151" s="23">
        <f>IF(AR151="","",IF(OR(TRIM(AE151&amp;"")&lt;&gt;"",AND(Skills!$B$5&lt;&gt;"",ISNUMBER(SEARCH(Skills!$B$5,AU151)))),1,0))</f>
        <v/>
      </c>
      <c r="AY151" s="23">
        <f>IF(AR151="","",IF(OR(TRIM(AF151&amp;"")&lt;&gt;"",AND(Skills!$B$6&lt;&gt;"",ISNUMBER(SEARCH(Skills!$B$6,AU151)))),1,0))</f>
        <v/>
      </c>
      <c r="AZ151" s="23">
        <f>IF(AR151="","",IF(OR(TRIM(AG151&amp;"")&lt;&gt;"",AND(Skills!$B$7&lt;&gt;"",ISNUMBER(SEARCH(Skills!$B$7,AU151)))),1,0))</f>
        <v/>
      </c>
      <c r="BA151" s="23">
        <f>IF(AR151="","",IF(OR(TRIM(AH151&amp;"")&lt;&gt;"",AND(Skills!$B$8&lt;&gt;"",ISNUMBER(SEARCH(Skills!$B$8,AU151)))),1,0))</f>
        <v/>
      </c>
      <c r="BB151" s="23">
        <f>IF(AR151="","",IF(OR(TRIM(AI151&amp;"")&lt;&gt;"",AND(Skills!$B$9&lt;&gt;"",ISNUMBER(SEARCH(Skills!$B$9,AU151)))),1,0))</f>
        <v/>
      </c>
      <c r="BC151" s="23">
        <f>IF(AR151="","",IF(OR(TRIM(AJ151&amp;"")&lt;&gt;"",AND(Skills!$B$10&lt;&gt;"",ISNUMBER(SEARCH(Skills!$B$10,AU151)))),1,0))</f>
        <v/>
      </c>
      <c r="BD151" s="23">
        <f>IF(AR151="","",IF(OR(TRIM(AK151&amp;"")&lt;&gt;"",AND(Skills!$B$11&lt;&gt;"",ISNUMBER(SEARCH(Skills!$B$11,AU151)))),1,0))</f>
        <v/>
      </c>
      <c r="BE151" s="23">
        <f>IF(AR151="","",IF(OR(TRIM(AL151&amp;"")&lt;&gt;"",AND(Skills!$B$12&lt;&gt;"",ISNUMBER(SEARCH(Skills!$B$12,AU151)))),1,0))</f>
        <v/>
      </c>
      <c r="BF151" s="23">
        <f>IF(AR151="","",IF(OR(TRIM(AM151&amp;"")&lt;&gt;"",AND(Skills!$B$13&lt;&gt;"",ISNUMBER(SEARCH(Skills!$B$13,AU151)))),1,0))</f>
        <v/>
      </c>
      <c r="BG151" s="23">
        <f>IF(AR151="","",IF(OR(TRIM(AN151&amp;"")&lt;&gt;"",AND(Skills!$B$14&lt;&gt;"",ISNUMBER(SEARCH(Skills!$B$14,AU151)))),1,0))</f>
        <v/>
      </c>
      <c r="BH151" s="23">
        <f>IF(AR151="","",IF(OR(TRIM(AO151&amp;"")&lt;&gt;"",AND(Skills!$B$15&lt;&gt;"",ISNUMBER(SEARCH(Skills!$B$15,AU151)))),1,0))</f>
        <v/>
      </c>
      <c r="BI151" s="23">
        <f>IF(AR151="","",IF(OR(TRIM(AP151&amp;"")&lt;&gt;"",AND(Skills!$B$16&lt;&gt;"",ISNUMBER(SEARCH(Skills!$B$16,AU151)))),1,0))</f>
        <v/>
      </c>
      <c r="BJ151" s="23">
        <f>IF(AR151="","",SUMPRODUCT($AX151:$BI151,Skills!$B$20:$M$20))</f>
        <v/>
      </c>
      <c r="BK151" s="23">
        <f>IF(AR151="","",BJ151*100000+(100000-ROW()))</f>
        <v/>
      </c>
      <c r="BL151" s="31">
        <f>IF(AR151="","",IF((IF(AND(AX151=1,Skills!$B$20=1),Skills!$B$5&amp;", ","")&amp;IF(AND(AY151=1,Skills!$C$20=1),Skills!$B$6&amp;", ","")&amp;IF(AND(AZ151=1,Skills!$D$20=1),Skills!$B$7&amp;", ","")&amp;IF(AND(BA151=1,Skills!$E$20=1),Skills!$B$8&amp;", ","")&amp;IF(AND(BB151=1,Skills!$F$20=1),Skills!$B$9&amp;", ","")&amp;IF(AND(BC151=1,Skills!$G$20=1),Skills!$B$10&amp;", ","")&amp;IF(AND(BD151=1,Skills!$H$20=1),Skills!$B$11&amp;", ","")&amp;IF(AND(BE151=1,Skills!$I$20=1),Skills!$B$12&amp;", ","")&amp;IF(AND(BF151=1,Skills!$J$20=1),Skills!$B$13&amp;", ","")&amp;IF(AND(BG151=1,Skills!$K$20=1),Skills!$B$14&amp;", ","")&amp;IF(AND(BH151=1,Skills!$L$20=1),Skills!$B$15&amp;", ","")&amp;IF(AND(BI151=1,Skills!$M$20=1),Skills!$B$16&amp;", ",""))="","",LEFT(IF(AND(AX151=1,Skills!$B$20=1),Skills!$B$5&amp;", ","")&amp;IF(AND(AY151=1,Skills!$C$20=1),Skills!$B$6&amp;", ","")&amp;IF(AND(AZ151=1,Skills!$D$20=1),Skills!$B$7&amp;", ","")&amp;IF(AND(BA151=1,Skills!$E$20=1),Skills!$B$8&amp;", ","")&amp;IF(AND(BB151=1,Skills!$F$20=1),Skills!$B$9&amp;", ","")&amp;IF(AND(BC151=1,Skills!$G$20=1),Skills!$B$10&amp;", ","")&amp;IF(AND(BD151=1,Skills!$H$20=1),Skills!$B$11&amp;", ","")&amp;IF(AND(BE151=1,Skills!$I$20=1),Skills!$B$12&amp;", ","")&amp;IF(AND(BF151=1,Skills!$J$20=1),Skills!$B$13&amp;", ","")&amp;IF(AND(BG151=1,Skills!$K$20=1),Skills!$B$14&amp;", ","")&amp;IF(AND(BH151=1,Skills!$L$20=1),Skills!$B$15&amp;", ","")&amp;IF(AND(BI151=1,Skills!$M$20=1),Skills!$B$16&amp;", ",""),LEN(IF(AND(AX151=1,Skills!$B$20=1),Skills!$B$5&amp;", ","")&amp;IF(AND(AY151=1,Skills!$C$20=1),Skills!$B$6&amp;", ","")&amp;IF(AND(AZ151=1,Skills!$D$20=1),Skills!$B$7&amp;", ","")&amp;IF(AND(BA151=1,Skills!$E$20=1),Skills!$B$8&amp;", ","")&amp;IF(AND(BB151=1,Skills!$F$20=1),Skills!$B$9&amp;", ","")&amp;IF(AND(BC151=1,Skills!$G$20=1),Skills!$B$10&amp;", ","")&amp;IF(AND(BD151=1,Skills!$H$20=1),Skills!$B$11&amp;", ","")&amp;IF(AND(BE151=1,Skills!$I$20=1),Skills!$B$12&amp;", ","")&amp;IF(AND(BF151=1,Skills!$J$20=1),Skills!$B$13&amp;", ","")&amp;IF(AND(BG151=1,Skills!$K$20=1),Skills!$B$14&amp;", ","")&amp;IF(AND(BH151=1,Skills!$L$20=1),Skills!$B$15&amp;", ","")&amp;IF(AND(BI151=1,Skills!$M$20=1),Skills!$B$16&amp;", ",""))-2)))</f>
        <v/>
      </c>
    </row>
    <row r="152">
      <c r="AD152" s="20" t="n"/>
      <c r="AE152" s="20" t="n"/>
      <c r="AF152" s="20" t="n"/>
      <c r="AG152" s="20" t="n"/>
      <c r="AH152" s="20" t="n"/>
      <c r="AI152" s="20" t="n"/>
      <c r="AJ152" s="20" t="n"/>
      <c r="AK152" s="20" t="n"/>
      <c r="AL152" s="20" t="n"/>
      <c r="AM152" s="20" t="n"/>
      <c r="AN152" s="20" t="n"/>
      <c r="AO152" s="20" t="n"/>
      <c r="AP152" s="20" t="n"/>
      <c r="AR152" s="31">
        <f>IF(IFERROR(TRIM(INDEX($A152:$AB152,MATCH(Lists!$B$5,$A$1:$AB$1,0))&amp;""),"")&lt;&gt;"",IFERROR(TRIM(INDEX($A152:$AB152,MATCH(Lists!$B$5,$A$1:$AB$1,0))&amp;""),""),IFERROR(TRIM(INDEX($A152:$AB152,MATCH(Lists!$B$3,$A$1:$AB$1,0))&amp;""),""))</f>
        <v/>
      </c>
      <c r="AS152" s="31">
        <f>IF(AR152="","",IF(IFERROR(TRIM(INDEX($A152:$AB152,MATCH(Lists!$B$5,$A$1:$AB$1,0))&amp;""),"")&lt;&gt;"","Nominated","Applied"))</f>
        <v/>
      </c>
      <c r="AT152" s="31">
        <f>IF(AR152="","",IF(IFERROR(TRIM(INDEX($A152:$AB152,MATCH(Lists!$B$5,$A$1:$AB$1,0))&amp;""),"")&lt;&gt;"",IFERROR(TRIM(INDEX($A152:$AB152,MATCH(Lists!$B$6,$A$1:$AB$1,0))&amp;""),""),IFERROR(TRIM(INDEX($A152:$AB152,MATCH(Lists!$B$4,$A$1:$AB$1,0))&amp;""),"")))</f>
        <v/>
      </c>
      <c r="AU152" s="31">
        <f>IF(AR152="","",IFERROR(TRIM(INDEX($A152:$AB152,MATCH(Lists!$B$7,$A$1:$AB$1,0))&amp;""),""))</f>
        <v/>
      </c>
      <c r="AV152" s="31">
        <f>IF(AR152="","",IFERROR(TRIM(INDEX($A152:$AB152,MATCH(Lists!$B$9,$A$1:$AB$1,0))&amp;""),""))</f>
        <v/>
      </c>
      <c r="AW152" s="31">
        <f>IF(AR152="","",IFERROR(TRIM(INDEX($A152:$AB152,MATCH(Lists!$B$8,$A$1:$AB$1,0))&amp;""),""))</f>
        <v/>
      </c>
      <c r="AX152" s="23">
        <f>IF(AR152="","",IF(OR(TRIM(AE152&amp;"")&lt;&gt;"",AND(Skills!$B$5&lt;&gt;"",ISNUMBER(SEARCH(Skills!$B$5,AU152)))),1,0))</f>
        <v/>
      </c>
      <c r="AY152" s="23">
        <f>IF(AR152="","",IF(OR(TRIM(AF152&amp;"")&lt;&gt;"",AND(Skills!$B$6&lt;&gt;"",ISNUMBER(SEARCH(Skills!$B$6,AU152)))),1,0))</f>
        <v/>
      </c>
      <c r="AZ152" s="23">
        <f>IF(AR152="","",IF(OR(TRIM(AG152&amp;"")&lt;&gt;"",AND(Skills!$B$7&lt;&gt;"",ISNUMBER(SEARCH(Skills!$B$7,AU152)))),1,0))</f>
        <v/>
      </c>
      <c r="BA152" s="23">
        <f>IF(AR152="","",IF(OR(TRIM(AH152&amp;"")&lt;&gt;"",AND(Skills!$B$8&lt;&gt;"",ISNUMBER(SEARCH(Skills!$B$8,AU152)))),1,0))</f>
        <v/>
      </c>
      <c r="BB152" s="23">
        <f>IF(AR152="","",IF(OR(TRIM(AI152&amp;"")&lt;&gt;"",AND(Skills!$B$9&lt;&gt;"",ISNUMBER(SEARCH(Skills!$B$9,AU152)))),1,0))</f>
        <v/>
      </c>
      <c r="BC152" s="23">
        <f>IF(AR152="","",IF(OR(TRIM(AJ152&amp;"")&lt;&gt;"",AND(Skills!$B$10&lt;&gt;"",ISNUMBER(SEARCH(Skills!$B$10,AU152)))),1,0))</f>
        <v/>
      </c>
      <c r="BD152" s="23">
        <f>IF(AR152="","",IF(OR(TRIM(AK152&amp;"")&lt;&gt;"",AND(Skills!$B$11&lt;&gt;"",ISNUMBER(SEARCH(Skills!$B$11,AU152)))),1,0))</f>
        <v/>
      </c>
      <c r="BE152" s="23">
        <f>IF(AR152="","",IF(OR(TRIM(AL152&amp;"")&lt;&gt;"",AND(Skills!$B$12&lt;&gt;"",ISNUMBER(SEARCH(Skills!$B$12,AU152)))),1,0))</f>
        <v/>
      </c>
      <c r="BF152" s="23">
        <f>IF(AR152="","",IF(OR(TRIM(AM152&amp;"")&lt;&gt;"",AND(Skills!$B$13&lt;&gt;"",ISNUMBER(SEARCH(Skills!$B$13,AU152)))),1,0))</f>
        <v/>
      </c>
      <c r="BG152" s="23">
        <f>IF(AR152="","",IF(OR(TRIM(AN152&amp;"")&lt;&gt;"",AND(Skills!$B$14&lt;&gt;"",ISNUMBER(SEARCH(Skills!$B$14,AU152)))),1,0))</f>
        <v/>
      </c>
      <c r="BH152" s="23">
        <f>IF(AR152="","",IF(OR(TRIM(AO152&amp;"")&lt;&gt;"",AND(Skills!$B$15&lt;&gt;"",ISNUMBER(SEARCH(Skills!$B$15,AU152)))),1,0))</f>
        <v/>
      </c>
      <c r="BI152" s="23">
        <f>IF(AR152="","",IF(OR(TRIM(AP152&amp;"")&lt;&gt;"",AND(Skills!$B$16&lt;&gt;"",ISNUMBER(SEARCH(Skills!$B$16,AU152)))),1,0))</f>
        <v/>
      </c>
      <c r="BJ152" s="23">
        <f>IF(AR152="","",SUMPRODUCT($AX152:$BI152,Skills!$B$20:$M$20))</f>
        <v/>
      </c>
      <c r="BK152" s="23">
        <f>IF(AR152="","",BJ152*100000+(100000-ROW()))</f>
        <v/>
      </c>
      <c r="BL152" s="31">
        <f>IF(AR152="","",IF((IF(AND(AX152=1,Skills!$B$20=1),Skills!$B$5&amp;", ","")&amp;IF(AND(AY152=1,Skills!$C$20=1),Skills!$B$6&amp;", ","")&amp;IF(AND(AZ152=1,Skills!$D$20=1),Skills!$B$7&amp;", ","")&amp;IF(AND(BA152=1,Skills!$E$20=1),Skills!$B$8&amp;", ","")&amp;IF(AND(BB152=1,Skills!$F$20=1),Skills!$B$9&amp;", ","")&amp;IF(AND(BC152=1,Skills!$G$20=1),Skills!$B$10&amp;", ","")&amp;IF(AND(BD152=1,Skills!$H$20=1),Skills!$B$11&amp;", ","")&amp;IF(AND(BE152=1,Skills!$I$20=1),Skills!$B$12&amp;", ","")&amp;IF(AND(BF152=1,Skills!$J$20=1),Skills!$B$13&amp;", ","")&amp;IF(AND(BG152=1,Skills!$K$20=1),Skills!$B$14&amp;", ","")&amp;IF(AND(BH152=1,Skills!$L$20=1),Skills!$B$15&amp;", ","")&amp;IF(AND(BI152=1,Skills!$M$20=1),Skills!$B$16&amp;", ",""))="","",LEFT(IF(AND(AX152=1,Skills!$B$20=1),Skills!$B$5&amp;", ","")&amp;IF(AND(AY152=1,Skills!$C$20=1),Skills!$B$6&amp;", ","")&amp;IF(AND(AZ152=1,Skills!$D$20=1),Skills!$B$7&amp;", ","")&amp;IF(AND(BA152=1,Skills!$E$20=1),Skills!$B$8&amp;", ","")&amp;IF(AND(BB152=1,Skills!$F$20=1),Skills!$B$9&amp;", ","")&amp;IF(AND(BC152=1,Skills!$G$20=1),Skills!$B$10&amp;", ","")&amp;IF(AND(BD152=1,Skills!$H$20=1),Skills!$B$11&amp;", ","")&amp;IF(AND(BE152=1,Skills!$I$20=1),Skills!$B$12&amp;", ","")&amp;IF(AND(BF152=1,Skills!$J$20=1),Skills!$B$13&amp;", ","")&amp;IF(AND(BG152=1,Skills!$K$20=1),Skills!$B$14&amp;", ","")&amp;IF(AND(BH152=1,Skills!$L$20=1),Skills!$B$15&amp;", ","")&amp;IF(AND(BI152=1,Skills!$M$20=1),Skills!$B$16&amp;", ",""),LEN(IF(AND(AX152=1,Skills!$B$20=1),Skills!$B$5&amp;", ","")&amp;IF(AND(AY152=1,Skills!$C$20=1),Skills!$B$6&amp;", ","")&amp;IF(AND(AZ152=1,Skills!$D$20=1),Skills!$B$7&amp;", ","")&amp;IF(AND(BA152=1,Skills!$E$20=1),Skills!$B$8&amp;", ","")&amp;IF(AND(BB152=1,Skills!$F$20=1),Skills!$B$9&amp;", ","")&amp;IF(AND(BC152=1,Skills!$G$20=1),Skills!$B$10&amp;", ","")&amp;IF(AND(BD152=1,Skills!$H$20=1),Skills!$B$11&amp;", ","")&amp;IF(AND(BE152=1,Skills!$I$20=1),Skills!$B$12&amp;", ","")&amp;IF(AND(BF152=1,Skills!$J$20=1),Skills!$B$13&amp;", ","")&amp;IF(AND(BG152=1,Skills!$K$20=1),Skills!$B$14&amp;", ","")&amp;IF(AND(BH152=1,Skills!$L$20=1),Skills!$B$15&amp;", ","")&amp;IF(AND(BI152=1,Skills!$M$20=1),Skills!$B$16&amp;", ",""))-2)))</f>
        <v/>
      </c>
    </row>
    <row r="153">
      <c r="AD153" s="20" t="n"/>
      <c r="AE153" s="20" t="n"/>
      <c r="AF153" s="20" t="n"/>
      <c r="AG153" s="20" t="n"/>
      <c r="AH153" s="20" t="n"/>
      <c r="AI153" s="20" t="n"/>
      <c r="AJ153" s="20" t="n"/>
      <c r="AK153" s="20" t="n"/>
      <c r="AL153" s="20" t="n"/>
      <c r="AM153" s="20" t="n"/>
      <c r="AN153" s="20" t="n"/>
      <c r="AO153" s="20" t="n"/>
      <c r="AP153" s="20" t="n"/>
      <c r="AR153" s="31">
        <f>IF(IFERROR(TRIM(INDEX($A153:$AB153,MATCH(Lists!$B$5,$A$1:$AB$1,0))&amp;""),"")&lt;&gt;"",IFERROR(TRIM(INDEX($A153:$AB153,MATCH(Lists!$B$5,$A$1:$AB$1,0))&amp;""),""),IFERROR(TRIM(INDEX($A153:$AB153,MATCH(Lists!$B$3,$A$1:$AB$1,0))&amp;""),""))</f>
        <v/>
      </c>
      <c r="AS153" s="31">
        <f>IF(AR153="","",IF(IFERROR(TRIM(INDEX($A153:$AB153,MATCH(Lists!$B$5,$A$1:$AB$1,0))&amp;""),"")&lt;&gt;"","Nominated","Applied"))</f>
        <v/>
      </c>
      <c r="AT153" s="31">
        <f>IF(AR153="","",IF(IFERROR(TRIM(INDEX($A153:$AB153,MATCH(Lists!$B$5,$A$1:$AB$1,0))&amp;""),"")&lt;&gt;"",IFERROR(TRIM(INDEX($A153:$AB153,MATCH(Lists!$B$6,$A$1:$AB$1,0))&amp;""),""),IFERROR(TRIM(INDEX($A153:$AB153,MATCH(Lists!$B$4,$A$1:$AB$1,0))&amp;""),"")))</f>
        <v/>
      </c>
      <c r="AU153" s="31">
        <f>IF(AR153="","",IFERROR(TRIM(INDEX($A153:$AB153,MATCH(Lists!$B$7,$A$1:$AB$1,0))&amp;""),""))</f>
        <v/>
      </c>
      <c r="AV153" s="31">
        <f>IF(AR153="","",IFERROR(TRIM(INDEX($A153:$AB153,MATCH(Lists!$B$9,$A$1:$AB$1,0))&amp;""),""))</f>
        <v/>
      </c>
      <c r="AW153" s="31">
        <f>IF(AR153="","",IFERROR(TRIM(INDEX($A153:$AB153,MATCH(Lists!$B$8,$A$1:$AB$1,0))&amp;""),""))</f>
        <v/>
      </c>
      <c r="AX153" s="23">
        <f>IF(AR153="","",IF(OR(TRIM(AE153&amp;"")&lt;&gt;"",AND(Skills!$B$5&lt;&gt;"",ISNUMBER(SEARCH(Skills!$B$5,AU153)))),1,0))</f>
        <v/>
      </c>
      <c r="AY153" s="23">
        <f>IF(AR153="","",IF(OR(TRIM(AF153&amp;"")&lt;&gt;"",AND(Skills!$B$6&lt;&gt;"",ISNUMBER(SEARCH(Skills!$B$6,AU153)))),1,0))</f>
        <v/>
      </c>
      <c r="AZ153" s="23">
        <f>IF(AR153="","",IF(OR(TRIM(AG153&amp;"")&lt;&gt;"",AND(Skills!$B$7&lt;&gt;"",ISNUMBER(SEARCH(Skills!$B$7,AU153)))),1,0))</f>
        <v/>
      </c>
      <c r="BA153" s="23">
        <f>IF(AR153="","",IF(OR(TRIM(AH153&amp;"")&lt;&gt;"",AND(Skills!$B$8&lt;&gt;"",ISNUMBER(SEARCH(Skills!$B$8,AU153)))),1,0))</f>
        <v/>
      </c>
      <c r="BB153" s="23">
        <f>IF(AR153="","",IF(OR(TRIM(AI153&amp;"")&lt;&gt;"",AND(Skills!$B$9&lt;&gt;"",ISNUMBER(SEARCH(Skills!$B$9,AU153)))),1,0))</f>
        <v/>
      </c>
      <c r="BC153" s="23">
        <f>IF(AR153="","",IF(OR(TRIM(AJ153&amp;"")&lt;&gt;"",AND(Skills!$B$10&lt;&gt;"",ISNUMBER(SEARCH(Skills!$B$10,AU153)))),1,0))</f>
        <v/>
      </c>
      <c r="BD153" s="23">
        <f>IF(AR153="","",IF(OR(TRIM(AK153&amp;"")&lt;&gt;"",AND(Skills!$B$11&lt;&gt;"",ISNUMBER(SEARCH(Skills!$B$11,AU153)))),1,0))</f>
        <v/>
      </c>
      <c r="BE153" s="23">
        <f>IF(AR153="","",IF(OR(TRIM(AL153&amp;"")&lt;&gt;"",AND(Skills!$B$12&lt;&gt;"",ISNUMBER(SEARCH(Skills!$B$12,AU153)))),1,0))</f>
        <v/>
      </c>
      <c r="BF153" s="23">
        <f>IF(AR153="","",IF(OR(TRIM(AM153&amp;"")&lt;&gt;"",AND(Skills!$B$13&lt;&gt;"",ISNUMBER(SEARCH(Skills!$B$13,AU153)))),1,0))</f>
        <v/>
      </c>
      <c r="BG153" s="23">
        <f>IF(AR153="","",IF(OR(TRIM(AN153&amp;"")&lt;&gt;"",AND(Skills!$B$14&lt;&gt;"",ISNUMBER(SEARCH(Skills!$B$14,AU153)))),1,0))</f>
        <v/>
      </c>
      <c r="BH153" s="23">
        <f>IF(AR153="","",IF(OR(TRIM(AO153&amp;"")&lt;&gt;"",AND(Skills!$B$15&lt;&gt;"",ISNUMBER(SEARCH(Skills!$B$15,AU153)))),1,0))</f>
        <v/>
      </c>
      <c r="BI153" s="23">
        <f>IF(AR153="","",IF(OR(TRIM(AP153&amp;"")&lt;&gt;"",AND(Skills!$B$16&lt;&gt;"",ISNUMBER(SEARCH(Skills!$B$16,AU153)))),1,0))</f>
        <v/>
      </c>
      <c r="BJ153" s="23">
        <f>IF(AR153="","",SUMPRODUCT($AX153:$BI153,Skills!$B$20:$M$20))</f>
        <v/>
      </c>
      <c r="BK153" s="23">
        <f>IF(AR153="","",BJ153*100000+(100000-ROW()))</f>
        <v/>
      </c>
      <c r="BL153" s="31">
        <f>IF(AR153="","",IF((IF(AND(AX153=1,Skills!$B$20=1),Skills!$B$5&amp;", ","")&amp;IF(AND(AY153=1,Skills!$C$20=1),Skills!$B$6&amp;", ","")&amp;IF(AND(AZ153=1,Skills!$D$20=1),Skills!$B$7&amp;", ","")&amp;IF(AND(BA153=1,Skills!$E$20=1),Skills!$B$8&amp;", ","")&amp;IF(AND(BB153=1,Skills!$F$20=1),Skills!$B$9&amp;", ","")&amp;IF(AND(BC153=1,Skills!$G$20=1),Skills!$B$10&amp;", ","")&amp;IF(AND(BD153=1,Skills!$H$20=1),Skills!$B$11&amp;", ","")&amp;IF(AND(BE153=1,Skills!$I$20=1),Skills!$B$12&amp;", ","")&amp;IF(AND(BF153=1,Skills!$J$20=1),Skills!$B$13&amp;", ","")&amp;IF(AND(BG153=1,Skills!$K$20=1),Skills!$B$14&amp;", ","")&amp;IF(AND(BH153=1,Skills!$L$20=1),Skills!$B$15&amp;", ","")&amp;IF(AND(BI153=1,Skills!$M$20=1),Skills!$B$16&amp;", ",""))="","",LEFT(IF(AND(AX153=1,Skills!$B$20=1),Skills!$B$5&amp;", ","")&amp;IF(AND(AY153=1,Skills!$C$20=1),Skills!$B$6&amp;", ","")&amp;IF(AND(AZ153=1,Skills!$D$20=1),Skills!$B$7&amp;", ","")&amp;IF(AND(BA153=1,Skills!$E$20=1),Skills!$B$8&amp;", ","")&amp;IF(AND(BB153=1,Skills!$F$20=1),Skills!$B$9&amp;", ","")&amp;IF(AND(BC153=1,Skills!$G$20=1),Skills!$B$10&amp;", ","")&amp;IF(AND(BD153=1,Skills!$H$20=1),Skills!$B$11&amp;", ","")&amp;IF(AND(BE153=1,Skills!$I$20=1),Skills!$B$12&amp;", ","")&amp;IF(AND(BF153=1,Skills!$J$20=1),Skills!$B$13&amp;", ","")&amp;IF(AND(BG153=1,Skills!$K$20=1),Skills!$B$14&amp;", ","")&amp;IF(AND(BH153=1,Skills!$L$20=1),Skills!$B$15&amp;", ","")&amp;IF(AND(BI153=1,Skills!$M$20=1),Skills!$B$16&amp;", ",""),LEN(IF(AND(AX153=1,Skills!$B$20=1),Skills!$B$5&amp;", ","")&amp;IF(AND(AY153=1,Skills!$C$20=1),Skills!$B$6&amp;", ","")&amp;IF(AND(AZ153=1,Skills!$D$20=1),Skills!$B$7&amp;", ","")&amp;IF(AND(BA153=1,Skills!$E$20=1),Skills!$B$8&amp;", ","")&amp;IF(AND(BB153=1,Skills!$F$20=1),Skills!$B$9&amp;", ","")&amp;IF(AND(BC153=1,Skills!$G$20=1),Skills!$B$10&amp;", ","")&amp;IF(AND(BD153=1,Skills!$H$20=1),Skills!$B$11&amp;", ","")&amp;IF(AND(BE153=1,Skills!$I$20=1),Skills!$B$12&amp;", ","")&amp;IF(AND(BF153=1,Skills!$J$20=1),Skills!$B$13&amp;", ","")&amp;IF(AND(BG153=1,Skills!$K$20=1),Skills!$B$14&amp;", ","")&amp;IF(AND(BH153=1,Skills!$L$20=1),Skills!$B$15&amp;", ","")&amp;IF(AND(BI153=1,Skills!$M$20=1),Skills!$B$16&amp;", ",""))-2)))</f>
        <v/>
      </c>
    </row>
    <row r="154">
      <c r="AD154" s="20" t="n"/>
      <c r="AE154" s="20" t="n"/>
      <c r="AF154" s="20" t="n"/>
      <c r="AG154" s="20" t="n"/>
      <c r="AH154" s="20" t="n"/>
      <c r="AI154" s="20" t="n"/>
      <c r="AJ154" s="20" t="n"/>
      <c r="AK154" s="20" t="n"/>
      <c r="AL154" s="20" t="n"/>
      <c r="AM154" s="20" t="n"/>
      <c r="AN154" s="20" t="n"/>
      <c r="AO154" s="20" t="n"/>
      <c r="AP154" s="20" t="n"/>
      <c r="AR154" s="31">
        <f>IF(IFERROR(TRIM(INDEX($A154:$AB154,MATCH(Lists!$B$5,$A$1:$AB$1,0))&amp;""),"")&lt;&gt;"",IFERROR(TRIM(INDEX($A154:$AB154,MATCH(Lists!$B$5,$A$1:$AB$1,0))&amp;""),""),IFERROR(TRIM(INDEX($A154:$AB154,MATCH(Lists!$B$3,$A$1:$AB$1,0))&amp;""),""))</f>
        <v/>
      </c>
      <c r="AS154" s="31">
        <f>IF(AR154="","",IF(IFERROR(TRIM(INDEX($A154:$AB154,MATCH(Lists!$B$5,$A$1:$AB$1,0))&amp;""),"")&lt;&gt;"","Nominated","Applied"))</f>
        <v/>
      </c>
      <c r="AT154" s="31">
        <f>IF(AR154="","",IF(IFERROR(TRIM(INDEX($A154:$AB154,MATCH(Lists!$B$5,$A$1:$AB$1,0))&amp;""),"")&lt;&gt;"",IFERROR(TRIM(INDEX($A154:$AB154,MATCH(Lists!$B$6,$A$1:$AB$1,0))&amp;""),""),IFERROR(TRIM(INDEX($A154:$AB154,MATCH(Lists!$B$4,$A$1:$AB$1,0))&amp;""),"")))</f>
        <v/>
      </c>
      <c r="AU154" s="31">
        <f>IF(AR154="","",IFERROR(TRIM(INDEX($A154:$AB154,MATCH(Lists!$B$7,$A$1:$AB$1,0))&amp;""),""))</f>
        <v/>
      </c>
      <c r="AV154" s="31">
        <f>IF(AR154="","",IFERROR(TRIM(INDEX($A154:$AB154,MATCH(Lists!$B$9,$A$1:$AB$1,0))&amp;""),""))</f>
        <v/>
      </c>
      <c r="AW154" s="31">
        <f>IF(AR154="","",IFERROR(TRIM(INDEX($A154:$AB154,MATCH(Lists!$B$8,$A$1:$AB$1,0))&amp;""),""))</f>
        <v/>
      </c>
      <c r="AX154" s="23">
        <f>IF(AR154="","",IF(OR(TRIM(AE154&amp;"")&lt;&gt;"",AND(Skills!$B$5&lt;&gt;"",ISNUMBER(SEARCH(Skills!$B$5,AU154)))),1,0))</f>
        <v/>
      </c>
      <c r="AY154" s="23">
        <f>IF(AR154="","",IF(OR(TRIM(AF154&amp;"")&lt;&gt;"",AND(Skills!$B$6&lt;&gt;"",ISNUMBER(SEARCH(Skills!$B$6,AU154)))),1,0))</f>
        <v/>
      </c>
      <c r="AZ154" s="23">
        <f>IF(AR154="","",IF(OR(TRIM(AG154&amp;"")&lt;&gt;"",AND(Skills!$B$7&lt;&gt;"",ISNUMBER(SEARCH(Skills!$B$7,AU154)))),1,0))</f>
        <v/>
      </c>
      <c r="BA154" s="23">
        <f>IF(AR154="","",IF(OR(TRIM(AH154&amp;"")&lt;&gt;"",AND(Skills!$B$8&lt;&gt;"",ISNUMBER(SEARCH(Skills!$B$8,AU154)))),1,0))</f>
        <v/>
      </c>
      <c r="BB154" s="23">
        <f>IF(AR154="","",IF(OR(TRIM(AI154&amp;"")&lt;&gt;"",AND(Skills!$B$9&lt;&gt;"",ISNUMBER(SEARCH(Skills!$B$9,AU154)))),1,0))</f>
        <v/>
      </c>
      <c r="BC154" s="23">
        <f>IF(AR154="","",IF(OR(TRIM(AJ154&amp;"")&lt;&gt;"",AND(Skills!$B$10&lt;&gt;"",ISNUMBER(SEARCH(Skills!$B$10,AU154)))),1,0))</f>
        <v/>
      </c>
      <c r="BD154" s="23">
        <f>IF(AR154="","",IF(OR(TRIM(AK154&amp;"")&lt;&gt;"",AND(Skills!$B$11&lt;&gt;"",ISNUMBER(SEARCH(Skills!$B$11,AU154)))),1,0))</f>
        <v/>
      </c>
      <c r="BE154" s="23">
        <f>IF(AR154="","",IF(OR(TRIM(AL154&amp;"")&lt;&gt;"",AND(Skills!$B$12&lt;&gt;"",ISNUMBER(SEARCH(Skills!$B$12,AU154)))),1,0))</f>
        <v/>
      </c>
      <c r="BF154" s="23">
        <f>IF(AR154="","",IF(OR(TRIM(AM154&amp;"")&lt;&gt;"",AND(Skills!$B$13&lt;&gt;"",ISNUMBER(SEARCH(Skills!$B$13,AU154)))),1,0))</f>
        <v/>
      </c>
      <c r="BG154" s="23">
        <f>IF(AR154="","",IF(OR(TRIM(AN154&amp;"")&lt;&gt;"",AND(Skills!$B$14&lt;&gt;"",ISNUMBER(SEARCH(Skills!$B$14,AU154)))),1,0))</f>
        <v/>
      </c>
      <c r="BH154" s="23">
        <f>IF(AR154="","",IF(OR(TRIM(AO154&amp;"")&lt;&gt;"",AND(Skills!$B$15&lt;&gt;"",ISNUMBER(SEARCH(Skills!$B$15,AU154)))),1,0))</f>
        <v/>
      </c>
      <c r="BI154" s="23">
        <f>IF(AR154="","",IF(OR(TRIM(AP154&amp;"")&lt;&gt;"",AND(Skills!$B$16&lt;&gt;"",ISNUMBER(SEARCH(Skills!$B$16,AU154)))),1,0))</f>
        <v/>
      </c>
      <c r="BJ154" s="23">
        <f>IF(AR154="","",SUMPRODUCT($AX154:$BI154,Skills!$B$20:$M$20))</f>
        <v/>
      </c>
      <c r="BK154" s="23">
        <f>IF(AR154="","",BJ154*100000+(100000-ROW()))</f>
        <v/>
      </c>
      <c r="BL154" s="31">
        <f>IF(AR154="","",IF((IF(AND(AX154=1,Skills!$B$20=1),Skills!$B$5&amp;", ","")&amp;IF(AND(AY154=1,Skills!$C$20=1),Skills!$B$6&amp;", ","")&amp;IF(AND(AZ154=1,Skills!$D$20=1),Skills!$B$7&amp;", ","")&amp;IF(AND(BA154=1,Skills!$E$20=1),Skills!$B$8&amp;", ","")&amp;IF(AND(BB154=1,Skills!$F$20=1),Skills!$B$9&amp;", ","")&amp;IF(AND(BC154=1,Skills!$G$20=1),Skills!$B$10&amp;", ","")&amp;IF(AND(BD154=1,Skills!$H$20=1),Skills!$B$11&amp;", ","")&amp;IF(AND(BE154=1,Skills!$I$20=1),Skills!$B$12&amp;", ","")&amp;IF(AND(BF154=1,Skills!$J$20=1),Skills!$B$13&amp;", ","")&amp;IF(AND(BG154=1,Skills!$K$20=1),Skills!$B$14&amp;", ","")&amp;IF(AND(BH154=1,Skills!$L$20=1),Skills!$B$15&amp;", ","")&amp;IF(AND(BI154=1,Skills!$M$20=1),Skills!$B$16&amp;", ",""))="","",LEFT(IF(AND(AX154=1,Skills!$B$20=1),Skills!$B$5&amp;", ","")&amp;IF(AND(AY154=1,Skills!$C$20=1),Skills!$B$6&amp;", ","")&amp;IF(AND(AZ154=1,Skills!$D$20=1),Skills!$B$7&amp;", ","")&amp;IF(AND(BA154=1,Skills!$E$20=1),Skills!$B$8&amp;", ","")&amp;IF(AND(BB154=1,Skills!$F$20=1),Skills!$B$9&amp;", ","")&amp;IF(AND(BC154=1,Skills!$G$20=1),Skills!$B$10&amp;", ","")&amp;IF(AND(BD154=1,Skills!$H$20=1),Skills!$B$11&amp;", ","")&amp;IF(AND(BE154=1,Skills!$I$20=1),Skills!$B$12&amp;", ","")&amp;IF(AND(BF154=1,Skills!$J$20=1),Skills!$B$13&amp;", ","")&amp;IF(AND(BG154=1,Skills!$K$20=1),Skills!$B$14&amp;", ","")&amp;IF(AND(BH154=1,Skills!$L$20=1),Skills!$B$15&amp;", ","")&amp;IF(AND(BI154=1,Skills!$M$20=1),Skills!$B$16&amp;", ",""),LEN(IF(AND(AX154=1,Skills!$B$20=1),Skills!$B$5&amp;", ","")&amp;IF(AND(AY154=1,Skills!$C$20=1),Skills!$B$6&amp;", ","")&amp;IF(AND(AZ154=1,Skills!$D$20=1),Skills!$B$7&amp;", ","")&amp;IF(AND(BA154=1,Skills!$E$20=1),Skills!$B$8&amp;", ","")&amp;IF(AND(BB154=1,Skills!$F$20=1),Skills!$B$9&amp;", ","")&amp;IF(AND(BC154=1,Skills!$G$20=1),Skills!$B$10&amp;", ","")&amp;IF(AND(BD154=1,Skills!$H$20=1),Skills!$B$11&amp;", ","")&amp;IF(AND(BE154=1,Skills!$I$20=1),Skills!$B$12&amp;", ","")&amp;IF(AND(BF154=1,Skills!$J$20=1),Skills!$B$13&amp;", ","")&amp;IF(AND(BG154=1,Skills!$K$20=1),Skills!$B$14&amp;", ","")&amp;IF(AND(BH154=1,Skills!$L$20=1),Skills!$B$15&amp;", ","")&amp;IF(AND(BI154=1,Skills!$M$20=1),Skills!$B$16&amp;", ",""))-2)))</f>
        <v/>
      </c>
    </row>
    <row r="155">
      <c r="AD155" s="20" t="n"/>
      <c r="AE155" s="20" t="n"/>
      <c r="AF155" s="20" t="n"/>
      <c r="AG155" s="20" t="n"/>
      <c r="AH155" s="20" t="n"/>
      <c r="AI155" s="20" t="n"/>
      <c r="AJ155" s="20" t="n"/>
      <c r="AK155" s="20" t="n"/>
      <c r="AL155" s="20" t="n"/>
      <c r="AM155" s="20" t="n"/>
      <c r="AN155" s="20" t="n"/>
      <c r="AO155" s="20" t="n"/>
      <c r="AP155" s="20" t="n"/>
      <c r="AR155" s="31">
        <f>IF(IFERROR(TRIM(INDEX($A155:$AB155,MATCH(Lists!$B$5,$A$1:$AB$1,0))&amp;""),"")&lt;&gt;"",IFERROR(TRIM(INDEX($A155:$AB155,MATCH(Lists!$B$5,$A$1:$AB$1,0))&amp;""),""),IFERROR(TRIM(INDEX($A155:$AB155,MATCH(Lists!$B$3,$A$1:$AB$1,0))&amp;""),""))</f>
        <v/>
      </c>
      <c r="AS155" s="31">
        <f>IF(AR155="","",IF(IFERROR(TRIM(INDEX($A155:$AB155,MATCH(Lists!$B$5,$A$1:$AB$1,0))&amp;""),"")&lt;&gt;"","Nominated","Applied"))</f>
        <v/>
      </c>
      <c r="AT155" s="31">
        <f>IF(AR155="","",IF(IFERROR(TRIM(INDEX($A155:$AB155,MATCH(Lists!$B$5,$A$1:$AB$1,0))&amp;""),"")&lt;&gt;"",IFERROR(TRIM(INDEX($A155:$AB155,MATCH(Lists!$B$6,$A$1:$AB$1,0))&amp;""),""),IFERROR(TRIM(INDEX($A155:$AB155,MATCH(Lists!$B$4,$A$1:$AB$1,0))&amp;""),"")))</f>
        <v/>
      </c>
      <c r="AU155" s="31">
        <f>IF(AR155="","",IFERROR(TRIM(INDEX($A155:$AB155,MATCH(Lists!$B$7,$A$1:$AB$1,0))&amp;""),""))</f>
        <v/>
      </c>
      <c r="AV155" s="31">
        <f>IF(AR155="","",IFERROR(TRIM(INDEX($A155:$AB155,MATCH(Lists!$B$9,$A$1:$AB$1,0))&amp;""),""))</f>
        <v/>
      </c>
      <c r="AW155" s="31">
        <f>IF(AR155="","",IFERROR(TRIM(INDEX($A155:$AB155,MATCH(Lists!$B$8,$A$1:$AB$1,0))&amp;""),""))</f>
        <v/>
      </c>
      <c r="AX155" s="23">
        <f>IF(AR155="","",IF(OR(TRIM(AE155&amp;"")&lt;&gt;"",AND(Skills!$B$5&lt;&gt;"",ISNUMBER(SEARCH(Skills!$B$5,AU155)))),1,0))</f>
        <v/>
      </c>
      <c r="AY155" s="23">
        <f>IF(AR155="","",IF(OR(TRIM(AF155&amp;"")&lt;&gt;"",AND(Skills!$B$6&lt;&gt;"",ISNUMBER(SEARCH(Skills!$B$6,AU155)))),1,0))</f>
        <v/>
      </c>
      <c r="AZ155" s="23">
        <f>IF(AR155="","",IF(OR(TRIM(AG155&amp;"")&lt;&gt;"",AND(Skills!$B$7&lt;&gt;"",ISNUMBER(SEARCH(Skills!$B$7,AU155)))),1,0))</f>
        <v/>
      </c>
      <c r="BA155" s="23">
        <f>IF(AR155="","",IF(OR(TRIM(AH155&amp;"")&lt;&gt;"",AND(Skills!$B$8&lt;&gt;"",ISNUMBER(SEARCH(Skills!$B$8,AU155)))),1,0))</f>
        <v/>
      </c>
      <c r="BB155" s="23">
        <f>IF(AR155="","",IF(OR(TRIM(AI155&amp;"")&lt;&gt;"",AND(Skills!$B$9&lt;&gt;"",ISNUMBER(SEARCH(Skills!$B$9,AU155)))),1,0))</f>
        <v/>
      </c>
      <c r="BC155" s="23">
        <f>IF(AR155="","",IF(OR(TRIM(AJ155&amp;"")&lt;&gt;"",AND(Skills!$B$10&lt;&gt;"",ISNUMBER(SEARCH(Skills!$B$10,AU155)))),1,0))</f>
        <v/>
      </c>
      <c r="BD155" s="23">
        <f>IF(AR155="","",IF(OR(TRIM(AK155&amp;"")&lt;&gt;"",AND(Skills!$B$11&lt;&gt;"",ISNUMBER(SEARCH(Skills!$B$11,AU155)))),1,0))</f>
        <v/>
      </c>
      <c r="BE155" s="23">
        <f>IF(AR155="","",IF(OR(TRIM(AL155&amp;"")&lt;&gt;"",AND(Skills!$B$12&lt;&gt;"",ISNUMBER(SEARCH(Skills!$B$12,AU155)))),1,0))</f>
        <v/>
      </c>
      <c r="BF155" s="23">
        <f>IF(AR155="","",IF(OR(TRIM(AM155&amp;"")&lt;&gt;"",AND(Skills!$B$13&lt;&gt;"",ISNUMBER(SEARCH(Skills!$B$13,AU155)))),1,0))</f>
        <v/>
      </c>
      <c r="BG155" s="23">
        <f>IF(AR155="","",IF(OR(TRIM(AN155&amp;"")&lt;&gt;"",AND(Skills!$B$14&lt;&gt;"",ISNUMBER(SEARCH(Skills!$B$14,AU155)))),1,0))</f>
        <v/>
      </c>
      <c r="BH155" s="23">
        <f>IF(AR155="","",IF(OR(TRIM(AO155&amp;"")&lt;&gt;"",AND(Skills!$B$15&lt;&gt;"",ISNUMBER(SEARCH(Skills!$B$15,AU155)))),1,0))</f>
        <v/>
      </c>
      <c r="BI155" s="23">
        <f>IF(AR155="","",IF(OR(TRIM(AP155&amp;"")&lt;&gt;"",AND(Skills!$B$16&lt;&gt;"",ISNUMBER(SEARCH(Skills!$B$16,AU155)))),1,0))</f>
        <v/>
      </c>
      <c r="BJ155" s="23">
        <f>IF(AR155="","",SUMPRODUCT($AX155:$BI155,Skills!$B$20:$M$20))</f>
        <v/>
      </c>
      <c r="BK155" s="23">
        <f>IF(AR155="","",BJ155*100000+(100000-ROW()))</f>
        <v/>
      </c>
      <c r="BL155" s="31">
        <f>IF(AR155="","",IF((IF(AND(AX155=1,Skills!$B$20=1),Skills!$B$5&amp;", ","")&amp;IF(AND(AY155=1,Skills!$C$20=1),Skills!$B$6&amp;", ","")&amp;IF(AND(AZ155=1,Skills!$D$20=1),Skills!$B$7&amp;", ","")&amp;IF(AND(BA155=1,Skills!$E$20=1),Skills!$B$8&amp;", ","")&amp;IF(AND(BB155=1,Skills!$F$20=1),Skills!$B$9&amp;", ","")&amp;IF(AND(BC155=1,Skills!$G$20=1),Skills!$B$10&amp;", ","")&amp;IF(AND(BD155=1,Skills!$H$20=1),Skills!$B$11&amp;", ","")&amp;IF(AND(BE155=1,Skills!$I$20=1),Skills!$B$12&amp;", ","")&amp;IF(AND(BF155=1,Skills!$J$20=1),Skills!$B$13&amp;", ","")&amp;IF(AND(BG155=1,Skills!$K$20=1),Skills!$B$14&amp;", ","")&amp;IF(AND(BH155=1,Skills!$L$20=1),Skills!$B$15&amp;", ","")&amp;IF(AND(BI155=1,Skills!$M$20=1),Skills!$B$16&amp;", ",""))="","",LEFT(IF(AND(AX155=1,Skills!$B$20=1),Skills!$B$5&amp;", ","")&amp;IF(AND(AY155=1,Skills!$C$20=1),Skills!$B$6&amp;", ","")&amp;IF(AND(AZ155=1,Skills!$D$20=1),Skills!$B$7&amp;", ","")&amp;IF(AND(BA155=1,Skills!$E$20=1),Skills!$B$8&amp;", ","")&amp;IF(AND(BB155=1,Skills!$F$20=1),Skills!$B$9&amp;", ","")&amp;IF(AND(BC155=1,Skills!$G$20=1),Skills!$B$10&amp;", ","")&amp;IF(AND(BD155=1,Skills!$H$20=1),Skills!$B$11&amp;", ","")&amp;IF(AND(BE155=1,Skills!$I$20=1),Skills!$B$12&amp;", ","")&amp;IF(AND(BF155=1,Skills!$J$20=1),Skills!$B$13&amp;", ","")&amp;IF(AND(BG155=1,Skills!$K$20=1),Skills!$B$14&amp;", ","")&amp;IF(AND(BH155=1,Skills!$L$20=1),Skills!$B$15&amp;", ","")&amp;IF(AND(BI155=1,Skills!$M$20=1),Skills!$B$16&amp;", ",""),LEN(IF(AND(AX155=1,Skills!$B$20=1),Skills!$B$5&amp;", ","")&amp;IF(AND(AY155=1,Skills!$C$20=1),Skills!$B$6&amp;", ","")&amp;IF(AND(AZ155=1,Skills!$D$20=1),Skills!$B$7&amp;", ","")&amp;IF(AND(BA155=1,Skills!$E$20=1),Skills!$B$8&amp;", ","")&amp;IF(AND(BB155=1,Skills!$F$20=1),Skills!$B$9&amp;", ","")&amp;IF(AND(BC155=1,Skills!$G$20=1),Skills!$B$10&amp;", ","")&amp;IF(AND(BD155=1,Skills!$H$20=1),Skills!$B$11&amp;", ","")&amp;IF(AND(BE155=1,Skills!$I$20=1),Skills!$B$12&amp;", ","")&amp;IF(AND(BF155=1,Skills!$J$20=1),Skills!$B$13&amp;", ","")&amp;IF(AND(BG155=1,Skills!$K$20=1),Skills!$B$14&amp;", ","")&amp;IF(AND(BH155=1,Skills!$L$20=1),Skills!$B$15&amp;", ","")&amp;IF(AND(BI155=1,Skills!$M$20=1),Skills!$B$16&amp;", ",""))-2)))</f>
        <v/>
      </c>
    </row>
    <row r="156">
      <c r="AD156" s="20" t="n"/>
      <c r="AE156" s="20" t="n"/>
      <c r="AF156" s="20" t="n"/>
      <c r="AG156" s="20" t="n"/>
      <c r="AH156" s="20" t="n"/>
      <c r="AI156" s="20" t="n"/>
      <c r="AJ156" s="20" t="n"/>
      <c r="AK156" s="20" t="n"/>
      <c r="AL156" s="20" t="n"/>
      <c r="AM156" s="20" t="n"/>
      <c r="AN156" s="20" t="n"/>
      <c r="AO156" s="20" t="n"/>
      <c r="AP156" s="20" t="n"/>
      <c r="AR156" s="31">
        <f>IF(IFERROR(TRIM(INDEX($A156:$AB156,MATCH(Lists!$B$5,$A$1:$AB$1,0))&amp;""),"")&lt;&gt;"",IFERROR(TRIM(INDEX($A156:$AB156,MATCH(Lists!$B$5,$A$1:$AB$1,0))&amp;""),""),IFERROR(TRIM(INDEX($A156:$AB156,MATCH(Lists!$B$3,$A$1:$AB$1,0))&amp;""),""))</f>
        <v/>
      </c>
      <c r="AS156" s="31">
        <f>IF(AR156="","",IF(IFERROR(TRIM(INDEX($A156:$AB156,MATCH(Lists!$B$5,$A$1:$AB$1,0))&amp;""),"")&lt;&gt;"","Nominated","Applied"))</f>
        <v/>
      </c>
      <c r="AT156" s="31">
        <f>IF(AR156="","",IF(IFERROR(TRIM(INDEX($A156:$AB156,MATCH(Lists!$B$5,$A$1:$AB$1,0))&amp;""),"")&lt;&gt;"",IFERROR(TRIM(INDEX($A156:$AB156,MATCH(Lists!$B$6,$A$1:$AB$1,0))&amp;""),""),IFERROR(TRIM(INDEX($A156:$AB156,MATCH(Lists!$B$4,$A$1:$AB$1,0))&amp;""),"")))</f>
        <v/>
      </c>
      <c r="AU156" s="31">
        <f>IF(AR156="","",IFERROR(TRIM(INDEX($A156:$AB156,MATCH(Lists!$B$7,$A$1:$AB$1,0))&amp;""),""))</f>
        <v/>
      </c>
      <c r="AV156" s="31">
        <f>IF(AR156="","",IFERROR(TRIM(INDEX($A156:$AB156,MATCH(Lists!$B$9,$A$1:$AB$1,0))&amp;""),""))</f>
        <v/>
      </c>
      <c r="AW156" s="31">
        <f>IF(AR156="","",IFERROR(TRIM(INDEX($A156:$AB156,MATCH(Lists!$B$8,$A$1:$AB$1,0))&amp;""),""))</f>
        <v/>
      </c>
      <c r="AX156" s="23">
        <f>IF(AR156="","",IF(OR(TRIM(AE156&amp;"")&lt;&gt;"",AND(Skills!$B$5&lt;&gt;"",ISNUMBER(SEARCH(Skills!$B$5,AU156)))),1,0))</f>
        <v/>
      </c>
      <c r="AY156" s="23">
        <f>IF(AR156="","",IF(OR(TRIM(AF156&amp;"")&lt;&gt;"",AND(Skills!$B$6&lt;&gt;"",ISNUMBER(SEARCH(Skills!$B$6,AU156)))),1,0))</f>
        <v/>
      </c>
      <c r="AZ156" s="23">
        <f>IF(AR156="","",IF(OR(TRIM(AG156&amp;"")&lt;&gt;"",AND(Skills!$B$7&lt;&gt;"",ISNUMBER(SEARCH(Skills!$B$7,AU156)))),1,0))</f>
        <v/>
      </c>
      <c r="BA156" s="23">
        <f>IF(AR156="","",IF(OR(TRIM(AH156&amp;"")&lt;&gt;"",AND(Skills!$B$8&lt;&gt;"",ISNUMBER(SEARCH(Skills!$B$8,AU156)))),1,0))</f>
        <v/>
      </c>
      <c r="BB156" s="23">
        <f>IF(AR156="","",IF(OR(TRIM(AI156&amp;"")&lt;&gt;"",AND(Skills!$B$9&lt;&gt;"",ISNUMBER(SEARCH(Skills!$B$9,AU156)))),1,0))</f>
        <v/>
      </c>
      <c r="BC156" s="23">
        <f>IF(AR156="","",IF(OR(TRIM(AJ156&amp;"")&lt;&gt;"",AND(Skills!$B$10&lt;&gt;"",ISNUMBER(SEARCH(Skills!$B$10,AU156)))),1,0))</f>
        <v/>
      </c>
      <c r="BD156" s="23">
        <f>IF(AR156="","",IF(OR(TRIM(AK156&amp;"")&lt;&gt;"",AND(Skills!$B$11&lt;&gt;"",ISNUMBER(SEARCH(Skills!$B$11,AU156)))),1,0))</f>
        <v/>
      </c>
      <c r="BE156" s="23">
        <f>IF(AR156="","",IF(OR(TRIM(AL156&amp;"")&lt;&gt;"",AND(Skills!$B$12&lt;&gt;"",ISNUMBER(SEARCH(Skills!$B$12,AU156)))),1,0))</f>
        <v/>
      </c>
      <c r="BF156" s="23">
        <f>IF(AR156="","",IF(OR(TRIM(AM156&amp;"")&lt;&gt;"",AND(Skills!$B$13&lt;&gt;"",ISNUMBER(SEARCH(Skills!$B$13,AU156)))),1,0))</f>
        <v/>
      </c>
      <c r="BG156" s="23">
        <f>IF(AR156="","",IF(OR(TRIM(AN156&amp;"")&lt;&gt;"",AND(Skills!$B$14&lt;&gt;"",ISNUMBER(SEARCH(Skills!$B$14,AU156)))),1,0))</f>
        <v/>
      </c>
      <c r="BH156" s="23">
        <f>IF(AR156="","",IF(OR(TRIM(AO156&amp;"")&lt;&gt;"",AND(Skills!$B$15&lt;&gt;"",ISNUMBER(SEARCH(Skills!$B$15,AU156)))),1,0))</f>
        <v/>
      </c>
      <c r="BI156" s="23">
        <f>IF(AR156="","",IF(OR(TRIM(AP156&amp;"")&lt;&gt;"",AND(Skills!$B$16&lt;&gt;"",ISNUMBER(SEARCH(Skills!$B$16,AU156)))),1,0))</f>
        <v/>
      </c>
      <c r="BJ156" s="23">
        <f>IF(AR156="","",SUMPRODUCT($AX156:$BI156,Skills!$B$20:$M$20))</f>
        <v/>
      </c>
      <c r="BK156" s="23">
        <f>IF(AR156="","",BJ156*100000+(100000-ROW()))</f>
        <v/>
      </c>
      <c r="BL156" s="31">
        <f>IF(AR156="","",IF((IF(AND(AX156=1,Skills!$B$20=1),Skills!$B$5&amp;", ","")&amp;IF(AND(AY156=1,Skills!$C$20=1),Skills!$B$6&amp;", ","")&amp;IF(AND(AZ156=1,Skills!$D$20=1),Skills!$B$7&amp;", ","")&amp;IF(AND(BA156=1,Skills!$E$20=1),Skills!$B$8&amp;", ","")&amp;IF(AND(BB156=1,Skills!$F$20=1),Skills!$B$9&amp;", ","")&amp;IF(AND(BC156=1,Skills!$G$20=1),Skills!$B$10&amp;", ","")&amp;IF(AND(BD156=1,Skills!$H$20=1),Skills!$B$11&amp;", ","")&amp;IF(AND(BE156=1,Skills!$I$20=1),Skills!$B$12&amp;", ","")&amp;IF(AND(BF156=1,Skills!$J$20=1),Skills!$B$13&amp;", ","")&amp;IF(AND(BG156=1,Skills!$K$20=1),Skills!$B$14&amp;", ","")&amp;IF(AND(BH156=1,Skills!$L$20=1),Skills!$B$15&amp;", ","")&amp;IF(AND(BI156=1,Skills!$M$20=1),Skills!$B$16&amp;", ",""))="","",LEFT(IF(AND(AX156=1,Skills!$B$20=1),Skills!$B$5&amp;", ","")&amp;IF(AND(AY156=1,Skills!$C$20=1),Skills!$B$6&amp;", ","")&amp;IF(AND(AZ156=1,Skills!$D$20=1),Skills!$B$7&amp;", ","")&amp;IF(AND(BA156=1,Skills!$E$20=1),Skills!$B$8&amp;", ","")&amp;IF(AND(BB156=1,Skills!$F$20=1),Skills!$B$9&amp;", ","")&amp;IF(AND(BC156=1,Skills!$G$20=1),Skills!$B$10&amp;", ","")&amp;IF(AND(BD156=1,Skills!$H$20=1),Skills!$B$11&amp;", ","")&amp;IF(AND(BE156=1,Skills!$I$20=1),Skills!$B$12&amp;", ","")&amp;IF(AND(BF156=1,Skills!$J$20=1),Skills!$B$13&amp;", ","")&amp;IF(AND(BG156=1,Skills!$K$20=1),Skills!$B$14&amp;", ","")&amp;IF(AND(BH156=1,Skills!$L$20=1),Skills!$B$15&amp;", ","")&amp;IF(AND(BI156=1,Skills!$M$20=1),Skills!$B$16&amp;", ",""),LEN(IF(AND(AX156=1,Skills!$B$20=1),Skills!$B$5&amp;", ","")&amp;IF(AND(AY156=1,Skills!$C$20=1),Skills!$B$6&amp;", ","")&amp;IF(AND(AZ156=1,Skills!$D$20=1),Skills!$B$7&amp;", ","")&amp;IF(AND(BA156=1,Skills!$E$20=1),Skills!$B$8&amp;", ","")&amp;IF(AND(BB156=1,Skills!$F$20=1),Skills!$B$9&amp;", ","")&amp;IF(AND(BC156=1,Skills!$G$20=1),Skills!$B$10&amp;", ","")&amp;IF(AND(BD156=1,Skills!$H$20=1),Skills!$B$11&amp;", ","")&amp;IF(AND(BE156=1,Skills!$I$20=1),Skills!$B$12&amp;", ","")&amp;IF(AND(BF156=1,Skills!$J$20=1),Skills!$B$13&amp;", ","")&amp;IF(AND(BG156=1,Skills!$K$20=1),Skills!$B$14&amp;", ","")&amp;IF(AND(BH156=1,Skills!$L$20=1),Skills!$B$15&amp;", ","")&amp;IF(AND(BI156=1,Skills!$M$20=1),Skills!$B$16&amp;", ",""))-2)))</f>
        <v/>
      </c>
    </row>
    <row r="157">
      <c r="AD157" s="20" t="n"/>
      <c r="AE157" s="20" t="n"/>
      <c r="AF157" s="20" t="n"/>
      <c r="AG157" s="20" t="n"/>
      <c r="AH157" s="20" t="n"/>
      <c r="AI157" s="20" t="n"/>
      <c r="AJ157" s="20" t="n"/>
      <c r="AK157" s="20" t="n"/>
      <c r="AL157" s="20" t="n"/>
      <c r="AM157" s="20" t="n"/>
      <c r="AN157" s="20" t="n"/>
      <c r="AO157" s="20" t="n"/>
      <c r="AP157" s="20" t="n"/>
      <c r="AR157" s="31">
        <f>IF(IFERROR(TRIM(INDEX($A157:$AB157,MATCH(Lists!$B$5,$A$1:$AB$1,0))&amp;""),"")&lt;&gt;"",IFERROR(TRIM(INDEX($A157:$AB157,MATCH(Lists!$B$5,$A$1:$AB$1,0))&amp;""),""),IFERROR(TRIM(INDEX($A157:$AB157,MATCH(Lists!$B$3,$A$1:$AB$1,0))&amp;""),""))</f>
        <v/>
      </c>
      <c r="AS157" s="31">
        <f>IF(AR157="","",IF(IFERROR(TRIM(INDEX($A157:$AB157,MATCH(Lists!$B$5,$A$1:$AB$1,0))&amp;""),"")&lt;&gt;"","Nominated","Applied"))</f>
        <v/>
      </c>
      <c r="AT157" s="31">
        <f>IF(AR157="","",IF(IFERROR(TRIM(INDEX($A157:$AB157,MATCH(Lists!$B$5,$A$1:$AB$1,0))&amp;""),"")&lt;&gt;"",IFERROR(TRIM(INDEX($A157:$AB157,MATCH(Lists!$B$6,$A$1:$AB$1,0))&amp;""),""),IFERROR(TRIM(INDEX($A157:$AB157,MATCH(Lists!$B$4,$A$1:$AB$1,0))&amp;""),"")))</f>
        <v/>
      </c>
      <c r="AU157" s="31">
        <f>IF(AR157="","",IFERROR(TRIM(INDEX($A157:$AB157,MATCH(Lists!$B$7,$A$1:$AB$1,0))&amp;""),""))</f>
        <v/>
      </c>
      <c r="AV157" s="31">
        <f>IF(AR157="","",IFERROR(TRIM(INDEX($A157:$AB157,MATCH(Lists!$B$9,$A$1:$AB$1,0))&amp;""),""))</f>
        <v/>
      </c>
      <c r="AW157" s="31">
        <f>IF(AR157="","",IFERROR(TRIM(INDEX($A157:$AB157,MATCH(Lists!$B$8,$A$1:$AB$1,0))&amp;""),""))</f>
        <v/>
      </c>
      <c r="AX157" s="23">
        <f>IF(AR157="","",IF(OR(TRIM(AE157&amp;"")&lt;&gt;"",AND(Skills!$B$5&lt;&gt;"",ISNUMBER(SEARCH(Skills!$B$5,AU157)))),1,0))</f>
        <v/>
      </c>
      <c r="AY157" s="23">
        <f>IF(AR157="","",IF(OR(TRIM(AF157&amp;"")&lt;&gt;"",AND(Skills!$B$6&lt;&gt;"",ISNUMBER(SEARCH(Skills!$B$6,AU157)))),1,0))</f>
        <v/>
      </c>
      <c r="AZ157" s="23">
        <f>IF(AR157="","",IF(OR(TRIM(AG157&amp;"")&lt;&gt;"",AND(Skills!$B$7&lt;&gt;"",ISNUMBER(SEARCH(Skills!$B$7,AU157)))),1,0))</f>
        <v/>
      </c>
      <c r="BA157" s="23">
        <f>IF(AR157="","",IF(OR(TRIM(AH157&amp;"")&lt;&gt;"",AND(Skills!$B$8&lt;&gt;"",ISNUMBER(SEARCH(Skills!$B$8,AU157)))),1,0))</f>
        <v/>
      </c>
      <c r="BB157" s="23">
        <f>IF(AR157="","",IF(OR(TRIM(AI157&amp;"")&lt;&gt;"",AND(Skills!$B$9&lt;&gt;"",ISNUMBER(SEARCH(Skills!$B$9,AU157)))),1,0))</f>
        <v/>
      </c>
      <c r="BC157" s="23">
        <f>IF(AR157="","",IF(OR(TRIM(AJ157&amp;"")&lt;&gt;"",AND(Skills!$B$10&lt;&gt;"",ISNUMBER(SEARCH(Skills!$B$10,AU157)))),1,0))</f>
        <v/>
      </c>
      <c r="BD157" s="23">
        <f>IF(AR157="","",IF(OR(TRIM(AK157&amp;"")&lt;&gt;"",AND(Skills!$B$11&lt;&gt;"",ISNUMBER(SEARCH(Skills!$B$11,AU157)))),1,0))</f>
        <v/>
      </c>
      <c r="BE157" s="23">
        <f>IF(AR157="","",IF(OR(TRIM(AL157&amp;"")&lt;&gt;"",AND(Skills!$B$12&lt;&gt;"",ISNUMBER(SEARCH(Skills!$B$12,AU157)))),1,0))</f>
        <v/>
      </c>
      <c r="BF157" s="23">
        <f>IF(AR157="","",IF(OR(TRIM(AM157&amp;"")&lt;&gt;"",AND(Skills!$B$13&lt;&gt;"",ISNUMBER(SEARCH(Skills!$B$13,AU157)))),1,0))</f>
        <v/>
      </c>
      <c r="BG157" s="23">
        <f>IF(AR157="","",IF(OR(TRIM(AN157&amp;"")&lt;&gt;"",AND(Skills!$B$14&lt;&gt;"",ISNUMBER(SEARCH(Skills!$B$14,AU157)))),1,0))</f>
        <v/>
      </c>
      <c r="BH157" s="23">
        <f>IF(AR157="","",IF(OR(TRIM(AO157&amp;"")&lt;&gt;"",AND(Skills!$B$15&lt;&gt;"",ISNUMBER(SEARCH(Skills!$B$15,AU157)))),1,0))</f>
        <v/>
      </c>
      <c r="BI157" s="23">
        <f>IF(AR157="","",IF(OR(TRIM(AP157&amp;"")&lt;&gt;"",AND(Skills!$B$16&lt;&gt;"",ISNUMBER(SEARCH(Skills!$B$16,AU157)))),1,0))</f>
        <v/>
      </c>
      <c r="BJ157" s="23">
        <f>IF(AR157="","",SUMPRODUCT($AX157:$BI157,Skills!$B$20:$M$20))</f>
        <v/>
      </c>
      <c r="BK157" s="23">
        <f>IF(AR157="","",BJ157*100000+(100000-ROW()))</f>
        <v/>
      </c>
      <c r="BL157" s="31">
        <f>IF(AR157="","",IF((IF(AND(AX157=1,Skills!$B$20=1),Skills!$B$5&amp;", ","")&amp;IF(AND(AY157=1,Skills!$C$20=1),Skills!$B$6&amp;", ","")&amp;IF(AND(AZ157=1,Skills!$D$20=1),Skills!$B$7&amp;", ","")&amp;IF(AND(BA157=1,Skills!$E$20=1),Skills!$B$8&amp;", ","")&amp;IF(AND(BB157=1,Skills!$F$20=1),Skills!$B$9&amp;", ","")&amp;IF(AND(BC157=1,Skills!$G$20=1),Skills!$B$10&amp;", ","")&amp;IF(AND(BD157=1,Skills!$H$20=1),Skills!$B$11&amp;", ","")&amp;IF(AND(BE157=1,Skills!$I$20=1),Skills!$B$12&amp;", ","")&amp;IF(AND(BF157=1,Skills!$J$20=1),Skills!$B$13&amp;", ","")&amp;IF(AND(BG157=1,Skills!$K$20=1),Skills!$B$14&amp;", ","")&amp;IF(AND(BH157=1,Skills!$L$20=1),Skills!$B$15&amp;", ","")&amp;IF(AND(BI157=1,Skills!$M$20=1),Skills!$B$16&amp;", ",""))="","",LEFT(IF(AND(AX157=1,Skills!$B$20=1),Skills!$B$5&amp;", ","")&amp;IF(AND(AY157=1,Skills!$C$20=1),Skills!$B$6&amp;", ","")&amp;IF(AND(AZ157=1,Skills!$D$20=1),Skills!$B$7&amp;", ","")&amp;IF(AND(BA157=1,Skills!$E$20=1),Skills!$B$8&amp;", ","")&amp;IF(AND(BB157=1,Skills!$F$20=1),Skills!$B$9&amp;", ","")&amp;IF(AND(BC157=1,Skills!$G$20=1),Skills!$B$10&amp;", ","")&amp;IF(AND(BD157=1,Skills!$H$20=1),Skills!$B$11&amp;", ","")&amp;IF(AND(BE157=1,Skills!$I$20=1),Skills!$B$12&amp;", ","")&amp;IF(AND(BF157=1,Skills!$J$20=1),Skills!$B$13&amp;", ","")&amp;IF(AND(BG157=1,Skills!$K$20=1),Skills!$B$14&amp;", ","")&amp;IF(AND(BH157=1,Skills!$L$20=1),Skills!$B$15&amp;", ","")&amp;IF(AND(BI157=1,Skills!$M$20=1),Skills!$B$16&amp;", ",""),LEN(IF(AND(AX157=1,Skills!$B$20=1),Skills!$B$5&amp;", ","")&amp;IF(AND(AY157=1,Skills!$C$20=1),Skills!$B$6&amp;", ","")&amp;IF(AND(AZ157=1,Skills!$D$20=1),Skills!$B$7&amp;", ","")&amp;IF(AND(BA157=1,Skills!$E$20=1),Skills!$B$8&amp;", ","")&amp;IF(AND(BB157=1,Skills!$F$20=1),Skills!$B$9&amp;", ","")&amp;IF(AND(BC157=1,Skills!$G$20=1),Skills!$B$10&amp;", ","")&amp;IF(AND(BD157=1,Skills!$H$20=1),Skills!$B$11&amp;", ","")&amp;IF(AND(BE157=1,Skills!$I$20=1),Skills!$B$12&amp;", ","")&amp;IF(AND(BF157=1,Skills!$J$20=1),Skills!$B$13&amp;", ","")&amp;IF(AND(BG157=1,Skills!$K$20=1),Skills!$B$14&amp;", ","")&amp;IF(AND(BH157=1,Skills!$L$20=1),Skills!$B$15&amp;", ","")&amp;IF(AND(BI157=1,Skills!$M$20=1),Skills!$B$16&amp;", ",""))-2)))</f>
        <v/>
      </c>
    </row>
    <row r="158">
      <c r="AD158" s="20" t="n"/>
      <c r="AE158" s="20" t="n"/>
      <c r="AF158" s="20" t="n"/>
      <c r="AG158" s="20" t="n"/>
      <c r="AH158" s="20" t="n"/>
      <c r="AI158" s="20" t="n"/>
      <c r="AJ158" s="20" t="n"/>
      <c r="AK158" s="20" t="n"/>
      <c r="AL158" s="20" t="n"/>
      <c r="AM158" s="20" t="n"/>
      <c r="AN158" s="20" t="n"/>
      <c r="AO158" s="20" t="n"/>
      <c r="AP158" s="20" t="n"/>
      <c r="AR158" s="31">
        <f>IF(IFERROR(TRIM(INDEX($A158:$AB158,MATCH(Lists!$B$5,$A$1:$AB$1,0))&amp;""),"")&lt;&gt;"",IFERROR(TRIM(INDEX($A158:$AB158,MATCH(Lists!$B$5,$A$1:$AB$1,0))&amp;""),""),IFERROR(TRIM(INDEX($A158:$AB158,MATCH(Lists!$B$3,$A$1:$AB$1,0))&amp;""),""))</f>
        <v/>
      </c>
      <c r="AS158" s="31">
        <f>IF(AR158="","",IF(IFERROR(TRIM(INDEX($A158:$AB158,MATCH(Lists!$B$5,$A$1:$AB$1,0))&amp;""),"")&lt;&gt;"","Nominated","Applied"))</f>
        <v/>
      </c>
      <c r="AT158" s="31">
        <f>IF(AR158="","",IF(IFERROR(TRIM(INDEX($A158:$AB158,MATCH(Lists!$B$5,$A$1:$AB$1,0))&amp;""),"")&lt;&gt;"",IFERROR(TRIM(INDEX($A158:$AB158,MATCH(Lists!$B$6,$A$1:$AB$1,0))&amp;""),""),IFERROR(TRIM(INDEX($A158:$AB158,MATCH(Lists!$B$4,$A$1:$AB$1,0))&amp;""),"")))</f>
        <v/>
      </c>
      <c r="AU158" s="31">
        <f>IF(AR158="","",IFERROR(TRIM(INDEX($A158:$AB158,MATCH(Lists!$B$7,$A$1:$AB$1,0))&amp;""),""))</f>
        <v/>
      </c>
      <c r="AV158" s="31">
        <f>IF(AR158="","",IFERROR(TRIM(INDEX($A158:$AB158,MATCH(Lists!$B$9,$A$1:$AB$1,0))&amp;""),""))</f>
        <v/>
      </c>
      <c r="AW158" s="31">
        <f>IF(AR158="","",IFERROR(TRIM(INDEX($A158:$AB158,MATCH(Lists!$B$8,$A$1:$AB$1,0))&amp;""),""))</f>
        <v/>
      </c>
      <c r="AX158" s="23">
        <f>IF(AR158="","",IF(OR(TRIM(AE158&amp;"")&lt;&gt;"",AND(Skills!$B$5&lt;&gt;"",ISNUMBER(SEARCH(Skills!$B$5,AU158)))),1,0))</f>
        <v/>
      </c>
      <c r="AY158" s="23">
        <f>IF(AR158="","",IF(OR(TRIM(AF158&amp;"")&lt;&gt;"",AND(Skills!$B$6&lt;&gt;"",ISNUMBER(SEARCH(Skills!$B$6,AU158)))),1,0))</f>
        <v/>
      </c>
      <c r="AZ158" s="23">
        <f>IF(AR158="","",IF(OR(TRIM(AG158&amp;"")&lt;&gt;"",AND(Skills!$B$7&lt;&gt;"",ISNUMBER(SEARCH(Skills!$B$7,AU158)))),1,0))</f>
        <v/>
      </c>
      <c r="BA158" s="23">
        <f>IF(AR158="","",IF(OR(TRIM(AH158&amp;"")&lt;&gt;"",AND(Skills!$B$8&lt;&gt;"",ISNUMBER(SEARCH(Skills!$B$8,AU158)))),1,0))</f>
        <v/>
      </c>
      <c r="BB158" s="23">
        <f>IF(AR158="","",IF(OR(TRIM(AI158&amp;"")&lt;&gt;"",AND(Skills!$B$9&lt;&gt;"",ISNUMBER(SEARCH(Skills!$B$9,AU158)))),1,0))</f>
        <v/>
      </c>
      <c r="BC158" s="23">
        <f>IF(AR158="","",IF(OR(TRIM(AJ158&amp;"")&lt;&gt;"",AND(Skills!$B$10&lt;&gt;"",ISNUMBER(SEARCH(Skills!$B$10,AU158)))),1,0))</f>
        <v/>
      </c>
      <c r="BD158" s="23">
        <f>IF(AR158="","",IF(OR(TRIM(AK158&amp;"")&lt;&gt;"",AND(Skills!$B$11&lt;&gt;"",ISNUMBER(SEARCH(Skills!$B$11,AU158)))),1,0))</f>
        <v/>
      </c>
      <c r="BE158" s="23">
        <f>IF(AR158="","",IF(OR(TRIM(AL158&amp;"")&lt;&gt;"",AND(Skills!$B$12&lt;&gt;"",ISNUMBER(SEARCH(Skills!$B$12,AU158)))),1,0))</f>
        <v/>
      </c>
      <c r="BF158" s="23">
        <f>IF(AR158="","",IF(OR(TRIM(AM158&amp;"")&lt;&gt;"",AND(Skills!$B$13&lt;&gt;"",ISNUMBER(SEARCH(Skills!$B$13,AU158)))),1,0))</f>
        <v/>
      </c>
      <c r="BG158" s="23">
        <f>IF(AR158="","",IF(OR(TRIM(AN158&amp;"")&lt;&gt;"",AND(Skills!$B$14&lt;&gt;"",ISNUMBER(SEARCH(Skills!$B$14,AU158)))),1,0))</f>
        <v/>
      </c>
      <c r="BH158" s="23">
        <f>IF(AR158="","",IF(OR(TRIM(AO158&amp;"")&lt;&gt;"",AND(Skills!$B$15&lt;&gt;"",ISNUMBER(SEARCH(Skills!$B$15,AU158)))),1,0))</f>
        <v/>
      </c>
      <c r="BI158" s="23">
        <f>IF(AR158="","",IF(OR(TRIM(AP158&amp;"")&lt;&gt;"",AND(Skills!$B$16&lt;&gt;"",ISNUMBER(SEARCH(Skills!$B$16,AU158)))),1,0))</f>
        <v/>
      </c>
      <c r="BJ158" s="23">
        <f>IF(AR158="","",SUMPRODUCT($AX158:$BI158,Skills!$B$20:$M$20))</f>
        <v/>
      </c>
      <c r="BK158" s="23">
        <f>IF(AR158="","",BJ158*100000+(100000-ROW()))</f>
        <v/>
      </c>
      <c r="BL158" s="31">
        <f>IF(AR158="","",IF((IF(AND(AX158=1,Skills!$B$20=1),Skills!$B$5&amp;", ","")&amp;IF(AND(AY158=1,Skills!$C$20=1),Skills!$B$6&amp;", ","")&amp;IF(AND(AZ158=1,Skills!$D$20=1),Skills!$B$7&amp;", ","")&amp;IF(AND(BA158=1,Skills!$E$20=1),Skills!$B$8&amp;", ","")&amp;IF(AND(BB158=1,Skills!$F$20=1),Skills!$B$9&amp;", ","")&amp;IF(AND(BC158=1,Skills!$G$20=1),Skills!$B$10&amp;", ","")&amp;IF(AND(BD158=1,Skills!$H$20=1),Skills!$B$11&amp;", ","")&amp;IF(AND(BE158=1,Skills!$I$20=1),Skills!$B$12&amp;", ","")&amp;IF(AND(BF158=1,Skills!$J$20=1),Skills!$B$13&amp;", ","")&amp;IF(AND(BG158=1,Skills!$K$20=1),Skills!$B$14&amp;", ","")&amp;IF(AND(BH158=1,Skills!$L$20=1),Skills!$B$15&amp;", ","")&amp;IF(AND(BI158=1,Skills!$M$20=1),Skills!$B$16&amp;", ",""))="","",LEFT(IF(AND(AX158=1,Skills!$B$20=1),Skills!$B$5&amp;", ","")&amp;IF(AND(AY158=1,Skills!$C$20=1),Skills!$B$6&amp;", ","")&amp;IF(AND(AZ158=1,Skills!$D$20=1),Skills!$B$7&amp;", ","")&amp;IF(AND(BA158=1,Skills!$E$20=1),Skills!$B$8&amp;", ","")&amp;IF(AND(BB158=1,Skills!$F$20=1),Skills!$B$9&amp;", ","")&amp;IF(AND(BC158=1,Skills!$G$20=1),Skills!$B$10&amp;", ","")&amp;IF(AND(BD158=1,Skills!$H$20=1),Skills!$B$11&amp;", ","")&amp;IF(AND(BE158=1,Skills!$I$20=1),Skills!$B$12&amp;", ","")&amp;IF(AND(BF158=1,Skills!$J$20=1),Skills!$B$13&amp;", ","")&amp;IF(AND(BG158=1,Skills!$K$20=1),Skills!$B$14&amp;", ","")&amp;IF(AND(BH158=1,Skills!$L$20=1),Skills!$B$15&amp;", ","")&amp;IF(AND(BI158=1,Skills!$M$20=1),Skills!$B$16&amp;", ",""),LEN(IF(AND(AX158=1,Skills!$B$20=1),Skills!$B$5&amp;", ","")&amp;IF(AND(AY158=1,Skills!$C$20=1),Skills!$B$6&amp;", ","")&amp;IF(AND(AZ158=1,Skills!$D$20=1),Skills!$B$7&amp;", ","")&amp;IF(AND(BA158=1,Skills!$E$20=1),Skills!$B$8&amp;", ","")&amp;IF(AND(BB158=1,Skills!$F$20=1),Skills!$B$9&amp;", ","")&amp;IF(AND(BC158=1,Skills!$G$20=1),Skills!$B$10&amp;", ","")&amp;IF(AND(BD158=1,Skills!$H$20=1),Skills!$B$11&amp;", ","")&amp;IF(AND(BE158=1,Skills!$I$20=1),Skills!$B$12&amp;", ","")&amp;IF(AND(BF158=1,Skills!$J$20=1),Skills!$B$13&amp;", ","")&amp;IF(AND(BG158=1,Skills!$K$20=1),Skills!$B$14&amp;", ","")&amp;IF(AND(BH158=1,Skills!$L$20=1),Skills!$B$15&amp;", ","")&amp;IF(AND(BI158=1,Skills!$M$20=1),Skills!$B$16&amp;", ",""))-2)))</f>
        <v/>
      </c>
    </row>
    <row r="159">
      <c r="AD159" s="20" t="n"/>
      <c r="AE159" s="20" t="n"/>
      <c r="AF159" s="20" t="n"/>
      <c r="AG159" s="20" t="n"/>
      <c r="AH159" s="20" t="n"/>
      <c r="AI159" s="20" t="n"/>
      <c r="AJ159" s="20" t="n"/>
      <c r="AK159" s="20" t="n"/>
      <c r="AL159" s="20" t="n"/>
      <c r="AM159" s="20" t="n"/>
      <c r="AN159" s="20" t="n"/>
      <c r="AO159" s="20" t="n"/>
      <c r="AP159" s="20" t="n"/>
      <c r="AR159" s="31">
        <f>IF(IFERROR(TRIM(INDEX($A159:$AB159,MATCH(Lists!$B$5,$A$1:$AB$1,0))&amp;""),"")&lt;&gt;"",IFERROR(TRIM(INDEX($A159:$AB159,MATCH(Lists!$B$5,$A$1:$AB$1,0))&amp;""),""),IFERROR(TRIM(INDEX($A159:$AB159,MATCH(Lists!$B$3,$A$1:$AB$1,0))&amp;""),""))</f>
        <v/>
      </c>
      <c r="AS159" s="31">
        <f>IF(AR159="","",IF(IFERROR(TRIM(INDEX($A159:$AB159,MATCH(Lists!$B$5,$A$1:$AB$1,0))&amp;""),"")&lt;&gt;"","Nominated","Applied"))</f>
        <v/>
      </c>
      <c r="AT159" s="31">
        <f>IF(AR159="","",IF(IFERROR(TRIM(INDEX($A159:$AB159,MATCH(Lists!$B$5,$A$1:$AB$1,0))&amp;""),"")&lt;&gt;"",IFERROR(TRIM(INDEX($A159:$AB159,MATCH(Lists!$B$6,$A$1:$AB$1,0))&amp;""),""),IFERROR(TRIM(INDEX($A159:$AB159,MATCH(Lists!$B$4,$A$1:$AB$1,0))&amp;""),"")))</f>
        <v/>
      </c>
      <c r="AU159" s="31">
        <f>IF(AR159="","",IFERROR(TRIM(INDEX($A159:$AB159,MATCH(Lists!$B$7,$A$1:$AB$1,0))&amp;""),""))</f>
        <v/>
      </c>
      <c r="AV159" s="31">
        <f>IF(AR159="","",IFERROR(TRIM(INDEX($A159:$AB159,MATCH(Lists!$B$9,$A$1:$AB$1,0))&amp;""),""))</f>
        <v/>
      </c>
      <c r="AW159" s="31">
        <f>IF(AR159="","",IFERROR(TRIM(INDEX($A159:$AB159,MATCH(Lists!$B$8,$A$1:$AB$1,0))&amp;""),""))</f>
        <v/>
      </c>
      <c r="AX159" s="23">
        <f>IF(AR159="","",IF(OR(TRIM(AE159&amp;"")&lt;&gt;"",AND(Skills!$B$5&lt;&gt;"",ISNUMBER(SEARCH(Skills!$B$5,AU159)))),1,0))</f>
        <v/>
      </c>
      <c r="AY159" s="23">
        <f>IF(AR159="","",IF(OR(TRIM(AF159&amp;"")&lt;&gt;"",AND(Skills!$B$6&lt;&gt;"",ISNUMBER(SEARCH(Skills!$B$6,AU159)))),1,0))</f>
        <v/>
      </c>
      <c r="AZ159" s="23">
        <f>IF(AR159="","",IF(OR(TRIM(AG159&amp;"")&lt;&gt;"",AND(Skills!$B$7&lt;&gt;"",ISNUMBER(SEARCH(Skills!$B$7,AU159)))),1,0))</f>
        <v/>
      </c>
      <c r="BA159" s="23">
        <f>IF(AR159="","",IF(OR(TRIM(AH159&amp;"")&lt;&gt;"",AND(Skills!$B$8&lt;&gt;"",ISNUMBER(SEARCH(Skills!$B$8,AU159)))),1,0))</f>
        <v/>
      </c>
      <c r="BB159" s="23">
        <f>IF(AR159="","",IF(OR(TRIM(AI159&amp;"")&lt;&gt;"",AND(Skills!$B$9&lt;&gt;"",ISNUMBER(SEARCH(Skills!$B$9,AU159)))),1,0))</f>
        <v/>
      </c>
      <c r="BC159" s="23">
        <f>IF(AR159="","",IF(OR(TRIM(AJ159&amp;"")&lt;&gt;"",AND(Skills!$B$10&lt;&gt;"",ISNUMBER(SEARCH(Skills!$B$10,AU159)))),1,0))</f>
        <v/>
      </c>
      <c r="BD159" s="23">
        <f>IF(AR159="","",IF(OR(TRIM(AK159&amp;"")&lt;&gt;"",AND(Skills!$B$11&lt;&gt;"",ISNUMBER(SEARCH(Skills!$B$11,AU159)))),1,0))</f>
        <v/>
      </c>
      <c r="BE159" s="23">
        <f>IF(AR159="","",IF(OR(TRIM(AL159&amp;"")&lt;&gt;"",AND(Skills!$B$12&lt;&gt;"",ISNUMBER(SEARCH(Skills!$B$12,AU159)))),1,0))</f>
        <v/>
      </c>
      <c r="BF159" s="23">
        <f>IF(AR159="","",IF(OR(TRIM(AM159&amp;"")&lt;&gt;"",AND(Skills!$B$13&lt;&gt;"",ISNUMBER(SEARCH(Skills!$B$13,AU159)))),1,0))</f>
        <v/>
      </c>
      <c r="BG159" s="23">
        <f>IF(AR159="","",IF(OR(TRIM(AN159&amp;"")&lt;&gt;"",AND(Skills!$B$14&lt;&gt;"",ISNUMBER(SEARCH(Skills!$B$14,AU159)))),1,0))</f>
        <v/>
      </c>
      <c r="BH159" s="23">
        <f>IF(AR159="","",IF(OR(TRIM(AO159&amp;"")&lt;&gt;"",AND(Skills!$B$15&lt;&gt;"",ISNUMBER(SEARCH(Skills!$B$15,AU159)))),1,0))</f>
        <v/>
      </c>
      <c r="BI159" s="23">
        <f>IF(AR159="","",IF(OR(TRIM(AP159&amp;"")&lt;&gt;"",AND(Skills!$B$16&lt;&gt;"",ISNUMBER(SEARCH(Skills!$B$16,AU159)))),1,0))</f>
        <v/>
      </c>
      <c r="BJ159" s="23">
        <f>IF(AR159="","",SUMPRODUCT($AX159:$BI159,Skills!$B$20:$M$20))</f>
        <v/>
      </c>
      <c r="BK159" s="23">
        <f>IF(AR159="","",BJ159*100000+(100000-ROW()))</f>
        <v/>
      </c>
      <c r="BL159" s="31">
        <f>IF(AR159="","",IF((IF(AND(AX159=1,Skills!$B$20=1),Skills!$B$5&amp;", ","")&amp;IF(AND(AY159=1,Skills!$C$20=1),Skills!$B$6&amp;", ","")&amp;IF(AND(AZ159=1,Skills!$D$20=1),Skills!$B$7&amp;", ","")&amp;IF(AND(BA159=1,Skills!$E$20=1),Skills!$B$8&amp;", ","")&amp;IF(AND(BB159=1,Skills!$F$20=1),Skills!$B$9&amp;", ","")&amp;IF(AND(BC159=1,Skills!$G$20=1),Skills!$B$10&amp;", ","")&amp;IF(AND(BD159=1,Skills!$H$20=1),Skills!$B$11&amp;", ","")&amp;IF(AND(BE159=1,Skills!$I$20=1),Skills!$B$12&amp;", ","")&amp;IF(AND(BF159=1,Skills!$J$20=1),Skills!$B$13&amp;", ","")&amp;IF(AND(BG159=1,Skills!$K$20=1),Skills!$B$14&amp;", ","")&amp;IF(AND(BH159=1,Skills!$L$20=1),Skills!$B$15&amp;", ","")&amp;IF(AND(BI159=1,Skills!$M$20=1),Skills!$B$16&amp;", ",""))="","",LEFT(IF(AND(AX159=1,Skills!$B$20=1),Skills!$B$5&amp;", ","")&amp;IF(AND(AY159=1,Skills!$C$20=1),Skills!$B$6&amp;", ","")&amp;IF(AND(AZ159=1,Skills!$D$20=1),Skills!$B$7&amp;", ","")&amp;IF(AND(BA159=1,Skills!$E$20=1),Skills!$B$8&amp;", ","")&amp;IF(AND(BB159=1,Skills!$F$20=1),Skills!$B$9&amp;", ","")&amp;IF(AND(BC159=1,Skills!$G$20=1),Skills!$B$10&amp;", ","")&amp;IF(AND(BD159=1,Skills!$H$20=1),Skills!$B$11&amp;", ","")&amp;IF(AND(BE159=1,Skills!$I$20=1),Skills!$B$12&amp;", ","")&amp;IF(AND(BF159=1,Skills!$J$20=1),Skills!$B$13&amp;", ","")&amp;IF(AND(BG159=1,Skills!$K$20=1),Skills!$B$14&amp;", ","")&amp;IF(AND(BH159=1,Skills!$L$20=1),Skills!$B$15&amp;", ","")&amp;IF(AND(BI159=1,Skills!$M$20=1),Skills!$B$16&amp;", ",""),LEN(IF(AND(AX159=1,Skills!$B$20=1),Skills!$B$5&amp;", ","")&amp;IF(AND(AY159=1,Skills!$C$20=1),Skills!$B$6&amp;", ","")&amp;IF(AND(AZ159=1,Skills!$D$20=1),Skills!$B$7&amp;", ","")&amp;IF(AND(BA159=1,Skills!$E$20=1),Skills!$B$8&amp;", ","")&amp;IF(AND(BB159=1,Skills!$F$20=1),Skills!$B$9&amp;", ","")&amp;IF(AND(BC159=1,Skills!$G$20=1),Skills!$B$10&amp;", ","")&amp;IF(AND(BD159=1,Skills!$H$20=1),Skills!$B$11&amp;", ","")&amp;IF(AND(BE159=1,Skills!$I$20=1),Skills!$B$12&amp;", ","")&amp;IF(AND(BF159=1,Skills!$J$20=1),Skills!$B$13&amp;", ","")&amp;IF(AND(BG159=1,Skills!$K$20=1),Skills!$B$14&amp;", ","")&amp;IF(AND(BH159=1,Skills!$L$20=1),Skills!$B$15&amp;", ","")&amp;IF(AND(BI159=1,Skills!$M$20=1),Skills!$B$16&amp;", ",""))-2)))</f>
        <v/>
      </c>
    </row>
    <row r="160">
      <c r="AD160" s="20" t="n"/>
      <c r="AE160" s="20" t="n"/>
      <c r="AF160" s="20" t="n"/>
      <c r="AG160" s="20" t="n"/>
      <c r="AH160" s="20" t="n"/>
      <c r="AI160" s="20" t="n"/>
      <c r="AJ160" s="20" t="n"/>
      <c r="AK160" s="20" t="n"/>
      <c r="AL160" s="20" t="n"/>
      <c r="AM160" s="20" t="n"/>
      <c r="AN160" s="20" t="n"/>
      <c r="AO160" s="20" t="n"/>
      <c r="AP160" s="20" t="n"/>
      <c r="AR160" s="31">
        <f>IF(IFERROR(TRIM(INDEX($A160:$AB160,MATCH(Lists!$B$5,$A$1:$AB$1,0))&amp;""),"")&lt;&gt;"",IFERROR(TRIM(INDEX($A160:$AB160,MATCH(Lists!$B$5,$A$1:$AB$1,0))&amp;""),""),IFERROR(TRIM(INDEX($A160:$AB160,MATCH(Lists!$B$3,$A$1:$AB$1,0))&amp;""),""))</f>
        <v/>
      </c>
      <c r="AS160" s="31">
        <f>IF(AR160="","",IF(IFERROR(TRIM(INDEX($A160:$AB160,MATCH(Lists!$B$5,$A$1:$AB$1,0))&amp;""),"")&lt;&gt;"","Nominated","Applied"))</f>
        <v/>
      </c>
      <c r="AT160" s="31">
        <f>IF(AR160="","",IF(IFERROR(TRIM(INDEX($A160:$AB160,MATCH(Lists!$B$5,$A$1:$AB$1,0))&amp;""),"")&lt;&gt;"",IFERROR(TRIM(INDEX($A160:$AB160,MATCH(Lists!$B$6,$A$1:$AB$1,0))&amp;""),""),IFERROR(TRIM(INDEX($A160:$AB160,MATCH(Lists!$B$4,$A$1:$AB$1,0))&amp;""),"")))</f>
        <v/>
      </c>
      <c r="AU160" s="31">
        <f>IF(AR160="","",IFERROR(TRIM(INDEX($A160:$AB160,MATCH(Lists!$B$7,$A$1:$AB$1,0))&amp;""),""))</f>
        <v/>
      </c>
      <c r="AV160" s="31">
        <f>IF(AR160="","",IFERROR(TRIM(INDEX($A160:$AB160,MATCH(Lists!$B$9,$A$1:$AB$1,0))&amp;""),""))</f>
        <v/>
      </c>
      <c r="AW160" s="31">
        <f>IF(AR160="","",IFERROR(TRIM(INDEX($A160:$AB160,MATCH(Lists!$B$8,$A$1:$AB$1,0))&amp;""),""))</f>
        <v/>
      </c>
      <c r="AX160" s="23">
        <f>IF(AR160="","",IF(OR(TRIM(AE160&amp;"")&lt;&gt;"",AND(Skills!$B$5&lt;&gt;"",ISNUMBER(SEARCH(Skills!$B$5,AU160)))),1,0))</f>
        <v/>
      </c>
      <c r="AY160" s="23">
        <f>IF(AR160="","",IF(OR(TRIM(AF160&amp;"")&lt;&gt;"",AND(Skills!$B$6&lt;&gt;"",ISNUMBER(SEARCH(Skills!$B$6,AU160)))),1,0))</f>
        <v/>
      </c>
      <c r="AZ160" s="23">
        <f>IF(AR160="","",IF(OR(TRIM(AG160&amp;"")&lt;&gt;"",AND(Skills!$B$7&lt;&gt;"",ISNUMBER(SEARCH(Skills!$B$7,AU160)))),1,0))</f>
        <v/>
      </c>
      <c r="BA160" s="23">
        <f>IF(AR160="","",IF(OR(TRIM(AH160&amp;"")&lt;&gt;"",AND(Skills!$B$8&lt;&gt;"",ISNUMBER(SEARCH(Skills!$B$8,AU160)))),1,0))</f>
        <v/>
      </c>
      <c r="BB160" s="23">
        <f>IF(AR160="","",IF(OR(TRIM(AI160&amp;"")&lt;&gt;"",AND(Skills!$B$9&lt;&gt;"",ISNUMBER(SEARCH(Skills!$B$9,AU160)))),1,0))</f>
        <v/>
      </c>
      <c r="BC160" s="23">
        <f>IF(AR160="","",IF(OR(TRIM(AJ160&amp;"")&lt;&gt;"",AND(Skills!$B$10&lt;&gt;"",ISNUMBER(SEARCH(Skills!$B$10,AU160)))),1,0))</f>
        <v/>
      </c>
      <c r="BD160" s="23">
        <f>IF(AR160="","",IF(OR(TRIM(AK160&amp;"")&lt;&gt;"",AND(Skills!$B$11&lt;&gt;"",ISNUMBER(SEARCH(Skills!$B$11,AU160)))),1,0))</f>
        <v/>
      </c>
      <c r="BE160" s="23">
        <f>IF(AR160="","",IF(OR(TRIM(AL160&amp;"")&lt;&gt;"",AND(Skills!$B$12&lt;&gt;"",ISNUMBER(SEARCH(Skills!$B$12,AU160)))),1,0))</f>
        <v/>
      </c>
      <c r="BF160" s="23">
        <f>IF(AR160="","",IF(OR(TRIM(AM160&amp;"")&lt;&gt;"",AND(Skills!$B$13&lt;&gt;"",ISNUMBER(SEARCH(Skills!$B$13,AU160)))),1,0))</f>
        <v/>
      </c>
      <c r="BG160" s="23">
        <f>IF(AR160="","",IF(OR(TRIM(AN160&amp;"")&lt;&gt;"",AND(Skills!$B$14&lt;&gt;"",ISNUMBER(SEARCH(Skills!$B$14,AU160)))),1,0))</f>
        <v/>
      </c>
      <c r="BH160" s="23">
        <f>IF(AR160="","",IF(OR(TRIM(AO160&amp;"")&lt;&gt;"",AND(Skills!$B$15&lt;&gt;"",ISNUMBER(SEARCH(Skills!$B$15,AU160)))),1,0))</f>
        <v/>
      </c>
      <c r="BI160" s="23">
        <f>IF(AR160="","",IF(OR(TRIM(AP160&amp;"")&lt;&gt;"",AND(Skills!$B$16&lt;&gt;"",ISNUMBER(SEARCH(Skills!$B$16,AU160)))),1,0))</f>
        <v/>
      </c>
      <c r="BJ160" s="23">
        <f>IF(AR160="","",SUMPRODUCT($AX160:$BI160,Skills!$B$20:$M$20))</f>
        <v/>
      </c>
      <c r="BK160" s="23">
        <f>IF(AR160="","",BJ160*100000+(100000-ROW()))</f>
        <v/>
      </c>
      <c r="BL160" s="31">
        <f>IF(AR160="","",IF((IF(AND(AX160=1,Skills!$B$20=1),Skills!$B$5&amp;", ","")&amp;IF(AND(AY160=1,Skills!$C$20=1),Skills!$B$6&amp;", ","")&amp;IF(AND(AZ160=1,Skills!$D$20=1),Skills!$B$7&amp;", ","")&amp;IF(AND(BA160=1,Skills!$E$20=1),Skills!$B$8&amp;", ","")&amp;IF(AND(BB160=1,Skills!$F$20=1),Skills!$B$9&amp;", ","")&amp;IF(AND(BC160=1,Skills!$G$20=1),Skills!$B$10&amp;", ","")&amp;IF(AND(BD160=1,Skills!$H$20=1),Skills!$B$11&amp;", ","")&amp;IF(AND(BE160=1,Skills!$I$20=1),Skills!$B$12&amp;", ","")&amp;IF(AND(BF160=1,Skills!$J$20=1),Skills!$B$13&amp;", ","")&amp;IF(AND(BG160=1,Skills!$K$20=1),Skills!$B$14&amp;", ","")&amp;IF(AND(BH160=1,Skills!$L$20=1),Skills!$B$15&amp;", ","")&amp;IF(AND(BI160=1,Skills!$M$20=1),Skills!$B$16&amp;", ",""))="","",LEFT(IF(AND(AX160=1,Skills!$B$20=1),Skills!$B$5&amp;", ","")&amp;IF(AND(AY160=1,Skills!$C$20=1),Skills!$B$6&amp;", ","")&amp;IF(AND(AZ160=1,Skills!$D$20=1),Skills!$B$7&amp;", ","")&amp;IF(AND(BA160=1,Skills!$E$20=1),Skills!$B$8&amp;", ","")&amp;IF(AND(BB160=1,Skills!$F$20=1),Skills!$B$9&amp;", ","")&amp;IF(AND(BC160=1,Skills!$G$20=1),Skills!$B$10&amp;", ","")&amp;IF(AND(BD160=1,Skills!$H$20=1),Skills!$B$11&amp;", ","")&amp;IF(AND(BE160=1,Skills!$I$20=1),Skills!$B$12&amp;", ","")&amp;IF(AND(BF160=1,Skills!$J$20=1),Skills!$B$13&amp;", ","")&amp;IF(AND(BG160=1,Skills!$K$20=1),Skills!$B$14&amp;", ","")&amp;IF(AND(BH160=1,Skills!$L$20=1),Skills!$B$15&amp;", ","")&amp;IF(AND(BI160=1,Skills!$M$20=1),Skills!$B$16&amp;", ",""),LEN(IF(AND(AX160=1,Skills!$B$20=1),Skills!$B$5&amp;", ","")&amp;IF(AND(AY160=1,Skills!$C$20=1),Skills!$B$6&amp;", ","")&amp;IF(AND(AZ160=1,Skills!$D$20=1),Skills!$B$7&amp;", ","")&amp;IF(AND(BA160=1,Skills!$E$20=1),Skills!$B$8&amp;", ","")&amp;IF(AND(BB160=1,Skills!$F$20=1),Skills!$B$9&amp;", ","")&amp;IF(AND(BC160=1,Skills!$G$20=1),Skills!$B$10&amp;", ","")&amp;IF(AND(BD160=1,Skills!$H$20=1),Skills!$B$11&amp;", ","")&amp;IF(AND(BE160=1,Skills!$I$20=1),Skills!$B$12&amp;", ","")&amp;IF(AND(BF160=1,Skills!$J$20=1),Skills!$B$13&amp;", ","")&amp;IF(AND(BG160=1,Skills!$K$20=1),Skills!$B$14&amp;", ","")&amp;IF(AND(BH160=1,Skills!$L$20=1),Skills!$B$15&amp;", ","")&amp;IF(AND(BI160=1,Skills!$M$20=1),Skills!$B$16&amp;", ",""))-2)))</f>
        <v/>
      </c>
    </row>
    <row r="161">
      <c r="AD161" s="20" t="n"/>
      <c r="AE161" s="20" t="n"/>
      <c r="AF161" s="20" t="n"/>
      <c r="AG161" s="20" t="n"/>
      <c r="AH161" s="20" t="n"/>
      <c r="AI161" s="20" t="n"/>
      <c r="AJ161" s="20" t="n"/>
      <c r="AK161" s="20" t="n"/>
      <c r="AL161" s="20" t="n"/>
      <c r="AM161" s="20" t="n"/>
      <c r="AN161" s="20" t="n"/>
      <c r="AO161" s="20" t="n"/>
      <c r="AP161" s="20" t="n"/>
      <c r="AR161" s="31">
        <f>IF(IFERROR(TRIM(INDEX($A161:$AB161,MATCH(Lists!$B$5,$A$1:$AB$1,0))&amp;""),"")&lt;&gt;"",IFERROR(TRIM(INDEX($A161:$AB161,MATCH(Lists!$B$5,$A$1:$AB$1,0))&amp;""),""),IFERROR(TRIM(INDEX($A161:$AB161,MATCH(Lists!$B$3,$A$1:$AB$1,0))&amp;""),""))</f>
        <v/>
      </c>
      <c r="AS161" s="31">
        <f>IF(AR161="","",IF(IFERROR(TRIM(INDEX($A161:$AB161,MATCH(Lists!$B$5,$A$1:$AB$1,0))&amp;""),"")&lt;&gt;"","Nominated","Applied"))</f>
        <v/>
      </c>
      <c r="AT161" s="31">
        <f>IF(AR161="","",IF(IFERROR(TRIM(INDEX($A161:$AB161,MATCH(Lists!$B$5,$A$1:$AB$1,0))&amp;""),"")&lt;&gt;"",IFERROR(TRIM(INDEX($A161:$AB161,MATCH(Lists!$B$6,$A$1:$AB$1,0))&amp;""),""),IFERROR(TRIM(INDEX($A161:$AB161,MATCH(Lists!$B$4,$A$1:$AB$1,0))&amp;""),"")))</f>
        <v/>
      </c>
      <c r="AU161" s="31">
        <f>IF(AR161="","",IFERROR(TRIM(INDEX($A161:$AB161,MATCH(Lists!$B$7,$A$1:$AB$1,0))&amp;""),""))</f>
        <v/>
      </c>
      <c r="AV161" s="31">
        <f>IF(AR161="","",IFERROR(TRIM(INDEX($A161:$AB161,MATCH(Lists!$B$9,$A$1:$AB$1,0))&amp;""),""))</f>
        <v/>
      </c>
      <c r="AW161" s="31">
        <f>IF(AR161="","",IFERROR(TRIM(INDEX($A161:$AB161,MATCH(Lists!$B$8,$A$1:$AB$1,0))&amp;""),""))</f>
        <v/>
      </c>
      <c r="AX161" s="23">
        <f>IF(AR161="","",IF(OR(TRIM(AE161&amp;"")&lt;&gt;"",AND(Skills!$B$5&lt;&gt;"",ISNUMBER(SEARCH(Skills!$B$5,AU161)))),1,0))</f>
        <v/>
      </c>
      <c r="AY161" s="23">
        <f>IF(AR161="","",IF(OR(TRIM(AF161&amp;"")&lt;&gt;"",AND(Skills!$B$6&lt;&gt;"",ISNUMBER(SEARCH(Skills!$B$6,AU161)))),1,0))</f>
        <v/>
      </c>
      <c r="AZ161" s="23">
        <f>IF(AR161="","",IF(OR(TRIM(AG161&amp;"")&lt;&gt;"",AND(Skills!$B$7&lt;&gt;"",ISNUMBER(SEARCH(Skills!$B$7,AU161)))),1,0))</f>
        <v/>
      </c>
      <c r="BA161" s="23">
        <f>IF(AR161="","",IF(OR(TRIM(AH161&amp;"")&lt;&gt;"",AND(Skills!$B$8&lt;&gt;"",ISNUMBER(SEARCH(Skills!$B$8,AU161)))),1,0))</f>
        <v/>
      </c>
      <c r="BB161" s="23">
        <f>IF(AR161="","",IF(OR(TRIM(AI161&amp;"")&lt;&gt;"",AND(Skills!$B$9&lt;&gt;"",ISNUMBER(SEARCH(Skills!$B$9,AU161)))),1,0))</f>
        <v/>
      </c>
      <c r="BC161" s="23">
        <f>IF(AR161="","",IF(OR(TRIM(AJ161&amp;"")&lt;&gt;"",AND(Skills!$B$10&lt;&gt;"",ISNUMBER(SEARCH(Skills!$B$10,AU161)))),1,0))</f>
        <v/>
      </c>
      <c r="BD161" s="23">
        <f>IF(AR161="","",IF(OR(TRIM(AK161&amp;"")&lt;&gt;"",AND(Skills!$B$11&lt;&gt;"",ISNUMBER(SEARCH(Skills!$B$11,AU161)))),1,0))</f>
        <v/>
      </c>
      <c r="BE161" s="23">
        <f>IF(AR161="","",IF(OR(TRIM(AL161&amp;"")&lt;&gt;"",AND(Skills!$B$12&lt;&gt;"",ISNUMBER(SEARCH(Skills!$B$12,AU161)))),1,0))</f>
        <v/>
      </c>
      <c r="BF161" s="23">
        <f>IF(AR161="","",IF(OR(TRIM(AM161&amp;"")&lt;&gt;"",AND(Skills!$B$13&lt;&gt;"",ISNUMBER(SEARCH(Skills!$B$13,AU161)))),1,0))</f>
        <v/>
      </c>
      <c r="BG161" s="23">
        <f>IF(AR161="","",IF(OR(TRIM(AN161&amp;"")&lt;&gt;"",AND(Skills!$B$14&lt;&gt;"",ISNUMBER(SEARCH(Skills!$B$14,AU161)))),1,0))</f>
        <v/>
      </c>
      <c r="BH161" s="23">
        <f>IF(AR161="","",IF(OR(TRIM(AO161&amp;"")&lt;&gt;"",AND(Skills!$B$15&lt;&gt;"",ISNUMBER(SEARCH(Skills!$B$15,AU161)))),1,0))</f>
        <v/>
      </c>
      <c r="BI161" s="23">
        <f>IF(AR161="","",IF(OR(TRIM(AP161&amp;"")&lt;&gt;"",AND(Skills!$B$16&lt;&gt;"",ISNUMBER(SEARCH(Skills!$B$16,AU161)))),1,0))</f>
        <v/>
      </c>
      <c r="BJ161" s="23">
        <f>IF(AR161="","",SUMPRODUCT($AX161:$BI161,Skills!$B$20:$M$20))</f>
        <v/>
      </c>
      <c r="BK161" s="23">
        <f>IF(AR161="","",BJ161*100000+(100000-ROW()))</f>
        <v/>
      </c>
      <c r="BL161" s="31">
        <f>IF(AR161="","",IF((IF(AND(AX161=1,Skills!$B$20=1),Skills!$B$5&amp;", ","")&amp;IF(AND(AY161=1,Skills!$C$20=1),Skills!$B$6&amp;", ","")&amp;IF(AND(AZ161=1,Skills!$D$20=1),Skills!$B$7&amp;", ","")&amp;IF(AND(BA161=1,Skills!$E$20=1),Skills!$B$8&amp;", ","")&amp;IF(AND(BB161=1,Skills!$F$20=1),Skills!$B$9&amp;", ","")&amp;IF(AND(BC161=1,Skills!$G$20=1),Skills!$B$10&amp;", ","")&amp;IF(AND(BD161=1,Skills!$H$20=1),Skills!$B$11&amp;", ","")&amp;IF(AND(BE161=1,Skills!$I$20=1),Skills!$B$12&amp;", ","")&amp;IF(AND(BF161=1,Skills!$J$20=1),Skills!$B$13&amp;", ","")&amp;IF(AND(BG161=1,Skills!$K$20=1),Skills!$B$14&amp;", ","")&amp;IF(AND(BH161=1,Skills!$L$20=1),Skills!$B$15&amp;", ","")&amp;IF(AND(BI161=1,Skills!$M$20=1),Skills!$B$16&amp;", ",""))="","",LEFT(IF(AND(AX161=1,Skills!$B$20=1),Skills!$B$5&amp;", ","")&amp;IF(AND(AY161=1,Skills!$C$20=1),Skills!$B$6&amp;", ","")&amp;IF(AND(AZ161=1,Skills!$D$20=1),Skills!$B$7&amp;", ","")&amp;IF(AND(BA161=1,Skills!$E$20=1),Skills!$B$8&amp;", ","")&amp;IF(AND(BB161=1,Skills!$F$20=1),Skills!$B$9&amp;", ","")&amp;IF(AND(BC161=1,Skills!$G$20=1),Skills!$B$10&amp;", ","")&amp;IF(AND(BD161=1,Skills!$H$20=1),Skills!$B$11&amp;", ","")&amp;IF(AND(BE161=1,Skills!$I$20=1),Skills!$B$12&amp;", ","")&amp;IF(AND(BF161=1,Skills!$J$20=1),Skills!$B$13&amp;", ","")&amp;IF(AND(BG161=1,Skills!$K$20=1),Skills!$B$14&amp;", ","")&amp;IF(AND(BH161=1,Skills!$L$20=1),Skills!$B$15&amp;", ","")&amp;IF(AND(BI161=1,Skills!$M$20=1),Skills!$B$16&amp;", ",""),LEN(IF(AND(AX161=1,Skills!$B$20=1),Skills!$B$5&amp;", ","")&amp;IF(AND(AY161=1,Skills!$C$20=1),Skills!$B$6&amp;", ","")&amp;IF(AND(AZ161=1,Skills!$D$20=1),Skills!$B$7&amp;", ","")&amp;IF(AND(BA161=1,Skills!$E$20=1),Skills!$B$8&amp;", ","")&amp;IF(AND(BB161=1,Skills!$F$20=1),Skills!$B$9&amp;", ","")&amp;IF(AND(BC161=1,Skills!$G$20=1),Skills!$B$10&amp;", ","")&amp;IF(AND(BD161=1,Skills!$H$20=1),Skills!$B$11&amp;", ","")&amp;IF(AND(BE161=1,Skills!$I$20=1),Skills!$B$12&amp;", ","")&amp;IF(AND(BF161=1,Skills!$J$20=1),Skills!$B$13&amp;", ","")&amp;IF(AND(BG161=1,Skills!$K$20=1),Skills!$B$14&amp;", ","")&amp;IF(AND(BH161=1,Skills!$L$20=1),Skills!$B$15&amp;", ","")&amp;IF(AND(BI161=1,Skills!$M$20=1),Skills!$B$16&amp;", ",""))-2)))</f>
        <v/>
      </c>
    </row>
    <row r="162">
      <c r="AD162" s="20" t="n"/>
      <c r="AE162" s="20" t="n"/>
      <c r="AF162" s="20" t="n"/>
      <c r="AG162" s="20" t="n"/>
      <c r="AH162" s="20" t="n"/>
      <c r="AI162" s="20" t="n"/>
      <c r="AJ162" s="20" t="n"/>
      <c r="AK162" s="20" t="n"/>
      <c r="AL162" s="20" t="n"/>
      <c r="AM162" s="20" t="n"/>
      <c r="AN162" s="20" t="n"/>
      <c r="AO162" s="20" t="n"/>
      <c r="AP162" s="20" t="n"/>
      <c r="AR162" s="31">
        <f>IF(IFERROR(TRIM(INDEX($A162:$AB162,MATCH(Lists!$B$5,$A$1:$AB$1,0))&amp;""),"")&lt;&gt;"",IFERROR(TRIM(INDEX($A162:$AB162,MATCH(Lists!$B$5,$A$1:$AB$1,0))&amp;""),""),IFERROR(TRIM(INDEX($A162:$AB162,MATCH(Lists!$B$3,$A$1:$AB$1,0))&amp;""),""))</f>
        <v/>
      </c>
      <c r="AS162" s="31">
        <f>IF(AR162="","",IF(IFERROR(TRIM(INDEX($A162:$AB162,MATCH(Lists!$B$5,$A$1:$AB$1,0))&amp;""),"")&lt;&gt;"","Nominated","Applied"))</f>
        <v/>
      </c>
      <c r="AT162" s="31">
        <f>IF(AR162="","",IF(IFERROR(TRIM(INDEX($A162:$AB162,MATCH(Lists!$B$5,$A$1:$AB$1,0))&amp;""),"")&lt;&gt;"",IFERROR(TRIM(INDEX($A162:$AB162,MATCH(Lists!$B$6,$A$1:$AB$1,0))&amp;""),""),IFERROR(TRIM(INDEX($A162:$AB162,MATCH(Lists!$B$4,$A$1:$AB$1,0))&amp;""),"")))</f>
        <v/>
      </c>
      <c r="AU162" s="31">
        <f>IF(AR162="","",IFERROR(TRIM(INDEX($A162:$AB162,MATCH(Lists!$B$7,$A$1:$AB$1,0))&amp;""),""))</f>
        <v/>
      </c>
      <c r="AV162" s="31">
        <f>IF(AR162="","",IFERROR(TRIM(INDEX($A162:$AB162,MATCH(Lists!$B$9,$A$1:$AB$1,0))&amp;""),""))</f>
        <v/>
      </c>
      <c r="AW162" s="31">
        <f>IF(AR162="","",IFERROR(TRIM(INDEX($A162:$AB162,MATCH(Lists!$B$8,$A$1:$AB$1,0))&amp;""),""))</f>
        <v/>
      </c>
      <c r="AX162" s="23">
        <f>IF(AR162="","",IF(OR(TRIM(AE162&amp;"")&lt;&gt;"",AND(Skills!$B$5&lt;&gt;"",ISNUMBER(SEARCH(Skills!$B$5,AU162)))),1,0))</f>
        <v/>
      </c>
      <c r="AY162" s="23">
        <f>IF(AR162="","",IF(OR(TRIM(AF162&amp;"")&lt;&gt;"",AND(Skills!$B$6&lt;&gt;"",ISNUMBER(SEARCH(Skills!$B$6,AU162)))),1,0))</f>
        <v/>
      </c>
      <c r="AZ162" s="23">
        <f>IF(AR162="","",IF(OR(TRIM(AG162&amp;"")&lt;&gt;"",AND(Skills!$B$7&lt;&gt;"",ISNUMBER(SEARCH(Skills!$B$7,AU162)))),1,0))</f>
        <v/>
      </c>
      <c r="BA162" s="23">
        <f>IF(AR162="","",IF(OR(TRIM(AH162&amp;"")&lt;&gt;"",AND(Skills!$B$8&lt;&gt;"",ISNUMBER(SEARCH(Skills!$B$8,AU162)))),1,0))</f>
        <v/>
      </c>
      <c r="BB162" s="23">
        <f>IF(AR162="","",IF(OR(TRIM(AI162&amp;"")&lt;&gt;"",AND(Skills!$B$9&lt;&gt;"",ISNUMBER(SEARCH(Skills!$B$9,AU162)))),1,0))</f>
        <v/>
      </c>
      <c r="BC162" s="23">
        <f>IF(AR162="","",IF(OR(TRIM(AJ162&amp;"")&lt;&gt;"",AND(Skills!$B$10&lt;&gt;"",ISNUMBER(SEARCH(Skills!$B$10,AU162)))),1,0))</f>
        <v/>
      </c>
      <c r="BD162" s="23">
        <f>IF(AR162="","",IF(OR(TRIM(AK162&amp;"")&lt;&gt;"",AND(Skills!$B$11&lt;&gt;"",ISNUMBER(SEARCH(Skills!$B$11,AU162)))),1,0))</f>
        <v/>
      </c>
      <c r="BE162" s="23">
        <f>IF(AR162="","",IF(OR(TRIM(AL162&amp;"")&lt;&gt;"",AND(Skills!$B$12&lt;&gt;"",ISNUMBER(SEARCH(Skills!$B$12,AU162)))),1,0))</f>
        <v/>
      </c>
      <c r="BF162" s="23">
        <f>IF(AR162="","",IF(OR(TRIM(AM162&amp;"")&lt;&gt;"",AND(Skills!$B$13&lt;&gt;"",ISNUMBER(SEARCH(Skills!$B$13,AU162)))),1,0))</f>
        <v/>
      </c>
      <c r="BG162" s="23">
        <f>IF(AR162="","",IF(OR(TRIM(AN162&amp;"")&lt;&gt;"",AND(Skills!$B$14&lt;&gt;"",ISNUMBER(SEARCH(Skills!$B$14,AU162)))),1,0))</f>
        <v/>
      </c>
      <c r="BH162" s="23">
        <f>IF(AR162="","",IF(OR(TRIM(AO162&amp;"")&lt;&gt;"",AND(Skills!$B$15&lt;&gt;"",ISNUMBER(SEARCH(Skills!$B$15,AU162)))),1,0))</f>
        <v/>
      </c>
      <c r="BI162" s="23">
        <f>IF(AR162="","",IF(OR(TRIM(AP162&amp;"")&lt;&gt;"",AND(Skills!$B$16&lt;&gt;"",ISNUMBER(SEARCH(Skills!$B$16,AU162)))),1,0))</f>
        <v/>
      </c>
      <c r="BJ162" s="23">
        <f>IF(AR162="","",SUMPRODUCT($AX162:$BI162,Skills!$B$20:$M$20))</f>
        <v/>
      </c>
      <c r="BK162" s="23">
        <f>IF(AR162="","",BJ162*100000+(100000-ROW()))</f>
        <v/>
      </c>
      <c r="BL162" s="31">
        <f>IF(AR162="","",IF((IF(AND(AX162=1,Skills!$B$20=1),Skills!$B$5&amp;", ","")&amp;IF(AND(AY162=1,Skills!$C$20=1),Skills!$B$6&amp;", ","")&amp;IF(AND(AZ162=1,Skills!$D$20=1),Skills!$B$7&amp;", ","")&amp;IF(AND(BA162=1,Skills!$E$20=1),Skills!$B$8&amp;", ","")&amp;IF(AND(BB162=1,Skills!$F$20=1),Skills!$B$9&amp;", ","")&amp;IF(AND(BC162=1,Skills!$G$20=1),Skills!$B$10&amp;", ","")&amp;IF(AND(BD162=1,Skills!$H$20=1),Skills!$B$11&amp;", ","")&amp;IF(AND(BE162=1,Skills!$I$20=1),Skills!$B$12&amp;", ","")&amp;IF(AND(BF162=1,Skills!$J$20=1),Skills!$B$13&amp;", ","")&amp;IF(AND(BG162=1,Skills!$K$20=1),Skills!$B$14&amp;", ","")&amp;IF(AND(BH162=1,Skills!$L$20=1),Skills!$B$15&amp;", ","")&amp;IF(AND(BI162=1,Skills!$M$20=1),Skills!$B$16&amp;", ",""))="","",LEFT(IF(AND(AX162=1,Skills!$B$20=1),Skills!$B$5&amp;", ","")&amp;IF(AND(AY162=1,Skills!$C$20=1),Skills!$B$6&amp;", ","")&amp;IF(AND(AZ162=1,Skills!$D$20=1),Skills!$B$7&amp;", ","")&amp;IF(AND(BA162=1,Skills!$E$20=1),Skills!$B$8&amp;", ","")&amp;IF(AND(BB162=1,Skills!$F$20=1),Skills!$B$9&amp;", ","")&amp;IF(AND(BC162=1,Skills!$G$20=1),Skills!$B$10&amp;", ","")&amp;IF(AND(BD162=1,Skills!$H$20=1),Skills!$B$11&amp;", ","")&amp;IF(AND(BE162=1,Skills!$I$20=1),Skills!$B$12&amp;", ","")&amp;IF(AND(BF162=1,Skills!$J$20=1),Skills!$B$13&amp;", ","")&amp;IF(AND(BG162=1,Skills!$K$20=1),Skills!$B$14&amp;", ","")&amp;IF(AND(BH162=1,Skills!$L$20=1),Skills!$B$15&amp;", ","")&amp;IF(AND(BI162=1,Skills!$M$20=1),Skills!$B$16&amp;", ",""),LEN(IF(AND(AX162=1,Skills!$B$20=1),Skills!$B$5&amp;", ","")&amp;IF(AND(AY162=1,Skills!$C$20=1),Skills!$B$6&amp;", ","")&amp;IF(AND(AZ162=1,Skills!$D$20=1),Skills!$B$7&amp;", ","")&amp;IF(AND(BA162=1,Skills!$E$20=1),Skills!$B$8&amp;", ","")&amp;IF(AND(BB162=1,Skills!$F$20=1),Skills!$B$9&amp;", ","")&amp;IF(AND(BC162=1,Skills!$G$20=1),Skills!$B$10&amp;", ","")&amp;IF(AND(BD162=1,Skills!$H$20=1),Skills!$B$11&amp;", ","")&amp;IF(AND(BE162=1,Skills!$I$20=1),Skills!$B$12&amp;", ","")&amp;IF(AND(BF162=1,Skills!$J$20=1),Skills!$B$13&amp;", ","")&amp;IF(AND(BG162=1,Skills!$K$20=1),Skills!$B$14&amp;", ","")&amp;IF(AND(BH162=1,Skills!$L$20=1),Skills!$B$15&amp;", ","")&amp;IF(AND(BI162=1,Skills!$M$20=1),Skills!$B$16&amp;", ",""))-2)))</f>
        <v/>
      </c>
    </row>
    <row r="163">
      <c r="AD163" s="20" t="n"/>
      <c r="AE163" s="20" t="n"/>
      <c r="AF163" s="20" t="n"/>
      <c r="AG163" s="20" t="n"/>
      <c r="AH163" s="20" t="n"/>
      <c r="AI163" s="20" t="n"/>
      <c r="AJ163" s="20" t="n"/>
      <c r="AK163" s="20" t="n"/>
      <c r="AL163" s="20" t="n"/>
      <c r="AM163" s="20" t="n"/>
      <c r="AN163" s="20" t="n"/>
      <c r="AO163" s="20" t="n"/>
      <c r="AP163" s="20" t="n"/>
      <c r="AR163" s="31">
        <f>IF(IFERROR(TRIM(INDEX($A163:$AB163,MATCH(Lists!$B$5,$A$1:$AB$1,0))&amp;""),"")&lt;&gt;"",IFERROR(TRIM(INDEX($A163:$AB163,MATCH(Lists!$B$5,$A$1:$AB$1,0))&amp;""),""),IFERROR(TRIM(INDEX($A163:$AB163,MATCH(Lists!$B$3,$A$1:$AB$1,0))&amp;""),""))</f>
        <v/>
      </c>
      <c r="AS163" s="31">
        <f>IF(AR163="","",IF(IFERROR(TRIM(INDEX($A163:$AB163,MATCH(Lists!$B$5,$A$1:$AB$1,0))&amp;""),"")&lt;&gt;"","Nominated","Applied"))</f>
        <v/>
      </c>
      <c r="AT163" s="31">
        <f>IF(AR163="","",IF(IFERROR(TRIM(INDEX($A163:$AB163,MATCH(Lists!$B$5,$A$1:$AB$1,0))&amp;""),"")&lt;&gt;"",IFERROR(TRIM(INDEX($A163:$AB163,MATCH(Lists!$B$6,$A$1:$AB$1,0))&amp;""),""),IFERROR(TRIM(INDEX($A163:$AB163,MATCH(Lists!$B$4,$A$1:$AB$1,0))&amp;""),"")))</f>
        <v/>
      </c>
      <c r="AU163" s="31">
        <f>IF(AR163="","",IFERROR(TRIM(INDEX($A163:$AB163,MATCH(Lists!$B$7,$A$1:$AB$1,0))&amp;""),""))</f>
        <v/>
      </c>
      <c r="AV163" s="31">
        <f>IF(AR163="","",IFERROR(TRIM(INDEX($A163:$AB163,MATCH(Lists!$B$9,$A$1:$AB$1,0))&amp;""),""))</f>
        <v/>
      </c>
      <c r="AW163" s="31">
        <f>IF(AR163="","",IFERROR(TRIM(INDEX($A163:$AB163,MATCH(Lists!$B$8,$A$1:$AB$1,0))&amp;""),""))</f>
        <v/>
      </c>
      <c r="AX163" s="23">
        <f>IF(AR163="","",IF(OR(TRIM(AE163&amp;"")&lt;&gt;"",AND(Skills!$B$5&lt;&gt;"",ISNUMBER(SEARCH(Skills!$B$5,AU163)))),1,0))</f>
        <v/>
      </c>
      <c r="AY163" s="23">
        <f>IF(AR163="","",IF(OR(TRIM(AF163&amp;"")&lt;&gt;"",AND(Skills!$B$6&lt;&gt;"",ISNUMBER(SEARCH(Skills!$B$6,AU163)))),1,0))</f>
        <v/>
      </c>
      <c r="AZ163" s="23">
        <f>IF(AR163="","",IF(OR(TRIM(AG163&amp;"")&lt;&gt;"",AND(Skills!$B$7&lt;&gt;"",ISNUMBER(SEARCH(Skills!$B$7,AU163)))),1,0))</f>
        <v/>
      </c>
      <c r="BA163" s="23">
        <f>IF(AR163="","",IF(OR(TRIM(AH163&amp;"")&lt;&gt;"",AND(Skills!$B$8&lt;&gt;"",ISNUMBER(SEARCH(Skills!$B$8,AU163)))),1,0))</f>
        <v/>
      </c>
      <c r="BB163" s="23">
        <f>IF(AR163="","",IF(OR(TRIM(AI163&amp;"")&lt;&gt;"",AND(Skills!$B$9&lt;&gt;"",ISNUMBER(SEARCH(Skills!$B$9,AU163)))),1,0))</f>
        <v/>
      </c>
      <c r="BC163" s="23">
        <f>IF(AR163="","",IF(OR(TRIM(AJ163&amp;"")&lt;&gt;"",AND(Skills!$B$10&lt;&gt;"",ISNUMBER(SEARCH(Skills!$B$10,AU163)))),1,0))</f>
        <v/>
      </c>
      <c r="BD163" s="23">
        <f>IF(AR163="","",IF(OR(TRIM(AK163&amp;"")&lt;&gt;"",AND(Skills!$B$11&lt;&gt;"",ISNUMBER(SEARCH(Skills!$B$11,AU163)))),1,0))</f>
        <v/>
      </c>
      <c r="BE163" s="23">
        <f>IF(AR163="","",IF(OR(TRIM(AL163&amp;"")&lt;&gt;"",AND(Skills!$B$12&lt;&gt;"",ISNUMBER(SEARCH(Skills!$B$12,AU163)))),1,0))</f>
        <v/>
      </c>
      <c r="BF163" s="23">
        <f>IF(AR163="","",IF(OR(TRIM(AM163&amp;"")&lt;&gt;"",AND(Skills!$B$13&lt;&gt;"",ISNUMBER(SEARCH(Skills!$B$13,AU163)))),1,0))</f>
        <v/>
      </c>
      <c r="BG163" s="23">
        <f>IF(AR163="","",IF(OR(TRIM(AN163&amp;"")&lt;&gt;"",AND(Skills!$B$14&lt;&gt;"",ISNUMBER(SEARCH(Skills!$B$14,AU163)))),1,0))</f>
        <v/>
      </c>
      <c r="BH163" s="23">
        <f>IF(AR163="","",IF(OR(TRIM(AO163&amp;"")&lt;&gt;"",AND(Skills!$B$15&lt;&gt;"",ISNUMBER(SEARCH(Skills!$B$15,AU163)))),1,0))</f>
        <v/>
      </c>
      <c r="BI163" s="23">
        <f>IF(AR163="","",IF(OR(TRIM(AP163&amp;"")&lt;&gt;"",AND(Skills!$B$16&lt;&gt;"",ISNUMBER(SEARCH(Skills!$B$16,AU163)))),1,0))</f>
        <v/>
      </c>
      <c r="BJ163" s="23">
        <f>IF(AR163="","",SUMPRODUCT($AX163:$BI163,Skills!$B$20:$M$20))</f>
        <v/>
      </c>
      <c r="BK163" s="23">
        <f>IF(AR163="","",BJ163*100000+(100000-ROW()))</f>
        <v/>
      </c>
      <c r="BL163" s="31">
        <f>IF(AR163="","",IF((IF(AND(AX163=1,Skills!$B$20=1),Skills!$B$5&amp;", ","")&amp;IF(AND(AY163=1,Skills!$C$20=1),Skills!$B$6&amp;", ","")&amp;IF(AND(AZ163=1,Skills!$D$20=1),Skills!$B$7&amp;", ","")&amp;IF(AND(BA163=1,Skills!$E$20=1),Skills!$B$8&amp;", ","")&amp;IF(AND(BB163=1,Skills!$F$20=1),Skills!$B$9&amp;", ","")&amp;IF(AND(BC163=1,Skills!$G$20=1),Skills!$B$10&amp;", ","")&amp;IF(AND(BD163=1,Skills!$H$20=1),Skills!$B$11&amp;", ","")&amp;IF(AND(BE163=1,Skills!$I$20=1),Skills!$B$12&amp;", ","")&amp;IF(AND(BF163=1,Skills!$J$20=1),Skills!$B$13&amp;", ","")&amp;IF(AND(BG163=1,Skills!$K$20=1),Skills!$B$14&amp;", ","")&amp;IF(AND(BH163=1,Skills!$L$20=1),Skills!$B$15&amp;", ","")&amp;IF(AND(BI163=1,Skills!$M$20=1),Skills!$B$16&amp;", ",""))="","",LEFT(IF(AND(AX163=1,Skills!$B$20=1),Skills!$B$5&amp;", ","")&amp;IF(AND(AY163=1,Skills!$C$20=1),Skills!$B$6&amp;", ","")&amp;IF(AND(AZ163=1,Skills!$D$20=1),Skills!$B$7&amp;", ","")&amp;IF(AND(BA163=1,Skills!$E$20=1),Skills!$B$8&amp;", ","")&amp;IF(AND(BB163=1,Skills!$F$20=1),Skills!$B$9&amp;", ","")&amp;IF(AND(BC163=1,Skills!$G$20=1),Skills!$B$10&amp;", ","")&amp;IF(AND(BD163=1,Skills!$H$20=1),Skills!$B$11&amp;", ","")&amp;IF(AND(BE163=1,Skills!$I$20=1),Skills!$B$12&amp;", ","")&amp;IF(AND(BF163=1,Skills!$J$20=1),Skills!$B$13&amp;", ","")&amp;IF(AND(BG163=1,Skills!$K$20=1),Skills!$B$14&amp;", ","")&amp;IF(AND(BH163=1,Skills!$L$20=1),Skills!$B$15&amp;", ","")&amp;IF(AND(BI163=1,Skills!$M$20=1),Skills!$B$16&amp;", ",""),LEN(IF(AND(AX163=1,Skills!$B$20=1),Skills!$B$5&amp;", ","")&amp;IF(AND(AY163=1,Skills!$C$20=1),Skills!$B$6&amp;", ","")&amp;IF(AND(AZ163=1,Skills!$D$20=1),Skills!$B$7&amp;", ","")&amp;IF(AND(BA163=1,Skills!$E$20=1),Skills!$B$8&amp;", ","")&amp;IF(AND(BB163=1,Skills!$F$20=1),Skills!$B$9&amp;", ","")&amp;IF(AND(BC163=1,Skills!$G$20=1),Skills!$B$10&amp;", ","")&amp;IF(AND(BD163=1,Skills!$H$20=1),Skills!$B$11&amp;", ","")&amp;IF(AND(BE163=1,Skills!$I$20=1),Skills!$B$12&amp;", ","")&amp;IF(AND(BF163=1,Skills!$J$20=1),Skills!$B$13&amp;", ","")&amp;IF(AND(BG163=1,Skills!$K$20=1),Skills!$B$14&amp;", ","")&amp;IF(AND(BH163=1,Skills!$L$20=1),Skills!$B$15&amp;", ","")&amp;IF(AND(BI163=1,Skills!$M$20=1),Skills!$B$16&amp;", ",""))-2)))</f>
        <v/>
      </c>
    </row>
    <row r="164">
      <c r="AD164" s="20" t="n"/>
      <c r="AE164" s="20" t="n"/>
      <c r="AF164" s="20" t="n"/>
      <c r="AG164" s="20" t="n"/>
      <c r="AH164" s="20" t="n"/>
      <c r="AI164" s="20" t="n"/>
      <c r="AJ164" s="20" t="n"/>
      <c r="AK164" s="20" t="n"/>
      <c r="AL164" s="20" t="n"/>
      <c r="AM164" s="20" t="n"/>
      <c r="AN164" s="20" t="n"/>
      <c r="AO164" s="20" t="n"/>
      <c r="AP164" s="20" t="n"/>
      <c r="AR164" s="31">
        <f>IF(IFERROR(TRIM(INDEX($A164:$AB164,MATCH(Lists!$B$5,$A$1:$AB$1,0))&amp;""),"")&lt;&gt;"",IFERROR(TRIM(INDEX($A164:$AB164,MATCH(Lists!$B$5,$A$1:$AB$1,0))&amp;""),""),IFERROR(TRIM(INDEX($A164:$AB164,MATCH(Lists!$B$3,$A$1:$AB$1,0))&amp;""),""))</f>
        <v/>
      </c>
      <c r="AS164" s="31">
        <f>IF(AR164="","",IF(IFERROR(TRIM(INDEX($A164:$AB164,MATCH(Lists!$B$5,$A$1:$AB$1,0))&amp;""),"")&lt;&gt;"","Nominated","Applied"))</f>
        <v/>
      </c>
      <c r="AT164" s="31">
        <f>IF(AR164="","",IF(IFERROR(TRIM(INDEX($A164:$AB164,MATCH(Lists!$B$5,$A$1:$AB$1,0))&amp;""),"")&lt;&gt;"",IFERROR(TRIM(INDEX($A164:$AB164,MATCH(Lists!$B$6,$A$1:$AB$1,0))&amp;""),""),IFERROR(TRIM(INDEX($A164:$AB164,MATCH(Lists!$B$4,$A$1:$AB$1,0))&amp;""),"")))</f>
        <v/>
      </c>
      <c r="AU164" s="31">
        <f>IF(AR164="","",IFERROR(TRIM(INDEX($A164:$AB164,MATCH(Lists!$B$7,$A$1:$AB$1,0))&amp;""),""))</f>
        <v/>
      </c>
      <c r="AV164" s="31">
        <f>IF(AR164="","",IFERROR(TRIM(INDEX($A164:$AB164,MATCH(Lists!$B$9,$A$1:$AB$1,0))&amp;""),""))</f>
        <v/>
      </c>
      <c r="AW164" s="31">
        <f>IF(AR164="","",IFERROR(TRIM(INDEX($A164:$AB164,MATCH(Lists!$B$8,$A$1:$AB$1,0))&amp;""),""))</f>
        <v/>
      </c>
      <c r="AX164" s="23">
        <f>IF(AR164="","",IF(OR(TRIM(AE164&amp;"")&lt;&gt;"",AND(Skills!$B$5&lt;&gt;"",ISNUMBER(SEARCH(Skills!$B$5,AU164)))),1,0))</f>
        <v/>
      </c>
      <c r="AY164" s="23">
        <f>IF(AR164="","",IF(OR(TRIM(AF164&amp;"")&lt;&gt;"",AND(Skills!$B$6&lt;&gt;"",ISNUMBER(SEARCH(Skills!$B$6,AU164)))),1,0))</f>
        <v/>
      </c>
      <c r="AZ164" s="23">
        <f>IF(AR164="","",IF(OR(TRIM(AG164&amp;"")&lt;&gt;"",AND(Skills!$B$7&lt;&gt;"",ISNUMBER(SEARCH(Skills!$B$7,AU164)))),1,0))</f>
        <v/>
      </c>
      <c r="BA164" s="23">
        <f>IF(AR164="","",IF(OR(TRIM(AH164&amp;"")&lt;&gt;"",AND(Skills!$B$8&lt;&gt;"",ISNUMBER(SEARCH(Skills!$B$8,AU164)))),1,0))</f>
        <v/>
      </c>
      <c r="BB164" s="23">
        <f>IF(AR164="","",IF(OR(TRIM(AI164&amp;"")&lt;&gt;"",AND(Skills!$B$9&lt;&gt;"",ISNUMBER(SEARCH(Skills!$B$9,AU164)))),1,0))</f>
        <v/>
      </c>
      <c r="BC164" s="23">
        <f>IF(AR164="","",IF(OR(TRIM(AJ164&amp;"")&lt;&gt;"",AND(Skills!$B$10&lt;&gt;"",ISNUMBER(SEARCH(Skills!$B$10,AU164)))),1,0))</f>
        <v/>
      </c>
      <c r="BD164" s="23">
        <f>IF(AR164="","",IF(OR(TRIM(AK164&amp;"")&lt;&gt;"",AND(Skills!$B$11&lt;&gt;"",ISNUMBER(SEARCH(Skills!$B$11,AU164)))),1,0))</f>
        <v/>
      </c>
      <c r="BE164" s="23">
        <f>IF(AR164="","",IF(OR(TRIM(AL164&amp;"")&lt;&gt;"",AND(Skills!$B$12&lt;&gt;"",ISNUMBER(SEARCH(Skills!$B$12,AU164)))),1,0))</f>
        <v/>
      </c>
      <c r="BF164" s="23">
        <f>IF(AR164="","",IF(OR(TRIM(AM164&amp;"")&lt;&gt;"",AND(Skills!$B$13&lt;&gt;"",ISNUMBER(SEARCH(Skills!$B$13,AU164)))),1,0))</f>
        <v/>
      </c>
      <c r="BG164" s="23">
        <f>IF(AR164="","",IF(OR(TRIM(AN164&amp;"")&lt;&gt;"",AND(Skills!$B$14&lt;&gt;"",ISNUMBER(SEARCH(Skills!$B$14,AU164)))),1,0))</f>
        <v/>
      </c>
      <c r="BH164" s="23">
        <f>IF(AR164="","",IF(OR(TRIM(AO164&amp;"")&lt;&gt;"",AND(Skills!$B$15&lt;&gt;"",ISNUMBER(SEARCH(Skills!$B$15,AU164)))),1,0))</f>
        <v/>
      </c>
      <c r="BI164" s="23">
        <f>IF(AR164="","",IF(OR(TRIM(AP164&amp;"")&lt;&gt;"",AND(Skills!$B$16&lt;&gt;"",ISNUMBER(SEARCH(Skills!$B$16,AU164)))),1,0))</f>
        <v/>
      </c>
      <c r="BJ164" s="23">
        <f>IF(AR164="","",SUMPRODUCT($AX164:$BI164,Skills!$B$20:$M$20))</f>
        <v/>
      </c>
      <c r="BK164" s="23">
        <f>IF(AR164="","",BJ164*100000+(100000-ROW()))</f>
        <v/>
      </c>
      <c r="BL164" s="31">
        <f>IF(AR164="","",IF((IF(AND(AX164=1,Skills!$B$20=1),Skills!$B$5&amp;", ","")&amp;IF(AND(AY164=1,Skills!$C$20=1),Skills!$B$6&amp;", ","")&amp;IF(AND(AZ164=1,Skills!$D$20=1),Skills!$B$7&amp;", ","")&amp;IF(AND(BA164=1,Skills!$E$20=1),Skills!$B$8&amp;", ","")&amp;IF(AND(BB164=1,Skills!$F$20=1),Skills!$B$9&amp;", ","")&amp;IF(AND(BC164=1,Skills!$G$20=1),Skills!$B$10&amp;", ","")&amp;IF(AND(BD164=1,Skills!$H$20=1),Skills!$B$11&amp;", ","")&amp;IF(AND(BE164=1,Skills!$I$20=1),Skills!$B$12&amp;", ","")&amp;IF(AND(BF164=1,Skills!$J$20=1),Skills!$B$13&amp;", ","")&amp;IF(AND(BG164=1,Skills!$K$20=1),Skills!$B$14&amp;", ","")&amp;IF(AND(BH164=1,Skills!$L$20=1),Skills!$B$15&amp;", ","")&amp;IF(AND(BI164=1,Skills!$M$20=1),Skills!$B$16&amp;", ",""))="","",LEFT(IF(AND(AX164=1,Skills!$B$20=1),Skills!$B$5&amp;", ","")&amp;IF(AND(AY164=1,Skills!$C$20=1),Skills!$B$6&amp;", ","")&amp;IF(AND(AZ164=1,Skills!$D$20=1),Skills!$B$7&amp;", ","")&amp;IF(AND(BA164=1,Skills!$E$20=1),Skills!$B$8&amp;", ","")&amp;IF(AND(BB164=1,Skills!$F$20=1),Skills!$B$9&amp;", ","")&amp;IF(AND(BC164=1,Skills!$G$20=1),Skills!$B$10&amp;", ","")&amp;IF(AND(BD164=1,Skills!$H$20=1),Skills!$B$11&amp;", ","")&amp;IF(AND(BE164=1,Skills!$I$20=1),Skills!$B$12&amp;", ","")&amp;IF(AND(BF164=1,Skills!$J$20=1),Skills!$B$13&amp;", ","")&amp;IF(AND(BG164=1,Skills!$K$20=1),Skills!$B$14&amp;", ","")&amp;IF(AND(BH164=1,Skills!$L$20=1),Skills!$B$15&amp;", ","")&amp;IF(AND(BI164=1,Skills!$M$20=1),Skills!$B$16&amp;", ",""),LEN(IF(AND(AX164=1,Skills!$B$20=1),Skills!$B$5&amp;", ","")&amp;IF(AND(AY164=1,Skills!$C$20=1),Skills!$B$6&amp;", ","")&amp;IF(AND(AZ164=1,Skills!$D$20=1),Skills!$B$7&amp;", ","")&amp;IF(AND(BA164=1,Skills!$E$20=1),Skills!$B$8&amp;", ","")&amp;IF(AND(BB164=1,Skills!$F$20=1),Skills!$B$9&amp;", ","")&amp;IF(AND(BC164=1,Skills!$G$20=1),Skills!$B$10&amp;", ","")&amp;IF(AND(BD164=1,Skills!$H$20=1),Skills!$B$11&amp;", ","")&amp;IF(AND(BE164=1,Skills!$I$20=1),Skills!$B$12&amp;", ","")&amp;IF(AND(BF164=1,Skills!$J$20=1),Skills!$B$13&amp;", ","")&amp;IF(AND(BG164=1,Skills!$K$20=1),Skills!$B$14&amp;", ","")&amp;IF(AND(BH164=1,Skills!$L$20=1),Skills!$B$15&amp;", ","")&amp;IF(AND(BI164=1,Skills!$M$20=1),Skills!$B$16&amp;", ",""))-2)))</f>
        <v/>
      </c>
    </row>
    <row r="165">
      <c r="AD165" s="20" t="n"/>
      <c r="AE165" s="20" t="n"/>
      <c r="AF165" s="20" t="n"/>
      <c r="AG165" s="20" t="n"/>
      <c r="AH165" s="20" t="n"/>
      <c r="AI165" s="20" t="n"/>
      <c r="AJ165" s="20" t="n"/>
      <c r="AK165" s="20" t="n"/>
      <c r="AL165" s="20" t="n"/>
      <c r="AM165" s="20" t="n"/>
      <c r="AN165" s="20" t="n"/>
      <c r="AO165" s="20" t="n"/>
      <c r="AP165" s="20" t="n"/>
      <c r="AR165" s="31">
        <f>IF(IFERROR(TRIM(INDEX($A165:$AB165,MATCH(Lists!$B$5,$A$1:$AB$1,0))&amp;""),"")&lt;&gt;"",IFERROR(TRIM(INDEX($A165:$AB165,MATCH(Lists!$B$5,$A$1:$AB$1,0))&amp;""),""),IFERROR(TRIM(INDEX($A165:$AB165,MATCH(Lists!$B$3,$A$1:$AB$1,0))&amp;""),""))</f>
        <v/>
      </c>
      <c r="AS165" s="31">
        <f>IF(AR165="","",IF(IFERROR(TRIM(INDEX($A165:$AB165,MATCH(Lists!$B$5,$A$1:$AB$1,0))&amp;""),"")&lt;&gt;"","Nominated","Applied"))</f>
        <v/>
      </c>
      <c r="AT165" s="31">
        <f>IF(AR165="","",IF(IFERROR(TRIM(INDEX($A165:$AB165,MATCH(Lists!$B$5,$A$1:$AB$1,0))&amp;""),"")&lt;&gt;"",IFERROR(TRIM(INDEX($A165:$AB165,MATCH(Lists!$B$6,$A$1:$AB$1,0))&amp;""),""),IFERROR(TRIM(INDEX($A165:$AB165,MATCH(Lists!$B$4,$A$1:$AB$1,0))&amp;""),"")))</f>
        <v/>
      </c>
      <c r="AU165" s="31">
        <f>IF(AR165="","",IFERROR(TRIM(INDEX($A165:$AB165,MATCH(Lists!$B$7,$A$1:$AB$1,0))&amp;""),""))</f>
        <v/>
      </c>
      <c r="AV165" s="31">
        <f>IF(AR165="","",IFERROR(TRIM(INDEX($A165:$AB165,MATCH(Lists!$B$9,$A$1:$AB$1,0))&amp;""),""))</f>
        <v/>
      </c>
      <c r="AW165" s="31">
        <f>IF(AR165="","",IFERROR(TRIM(INDEX($A165:$AB165,MATCH(Lists!$B$8,$A$1:$AB$1,0))&amp;""),""))</f>
        <v/>
      </c>
      <c r="AX165" s="23">
        <f>IF(AR165="","",IF(OR(TRIM(AE165&amp;"")&lt;&gt;"",AND(Skills!$B$5&lt;&gt;"",ISNUMBER(SEARCH(Skills!$B$5,AU165)))),1,0))</f>
        <v/>
      </c>
      <c r="AY165" s="23">
        <f>IF(AR165="","",IF(OR(TRIM(AF165&amp;"")&lt;&gt;"",AND(Skills!$B$6&lt;&gt;"",ISNUMBER(SEARCH(Skills!$B$6,AU165)))),1,0))</f>
        <v/>
      </c>
      <c r="AZ165" s="23">
        <f>IF(AR165="","",IF(OR(TRIM(AG165&amp;"")&lt;&gt;"",AND(Skills!$B$7&lt;&gt;"",ISNUMBER(SEARCH(Skills!$B$7,AU165)))),1,0))</f>
        <v/>
      </c>
      <c r="BA165" s="23">
        <f>IF(AR165="","",IF(OR(TRIM(AH165&amp;"")&lt;&gt;"",AND(Skills!$B$8&lt;&gt;"",ISNUMBER(SEARCH(Skills!$B$8,AU165)))),1,0))</f>
        <v/>
      </c>
      <c r="BB165" s="23">
        <f>IF(AR165="","",IF(OR(TRIM(AI165&amp;"")&lt;&gt;"",AND(Skills!$B$9&lt;&gt;"",ISNUMBER(SEARCH(Skills!$B$9,AU165)))),1,0))</f>
        <v/>
      </c>
      <c r="BC165" s="23">
        <f>IF(AR165="","",IF(OR(TRIM(AJ165&amp;"")&lt;&gt;"",AND(Skills!$B$10&lt;&gt;"",ISNUMBER(SEARCH(Skills!$B$10,AU165)))),1,0))</f>
        <v/>
      </c>
      <c r="BD165" s="23">
        <f>IF(AR165="","",IF(OR(TRIM(AK165&amp;"")&lt;&gt;"",AND(Skills!$B$11&lt;&gt;"",ISNUMBER(SEARCH(Skills!$B$11,AU165)))),1,0))</f>
        <v/>
      </c>
      <c r="BE165" s="23">
        <f>IF(AR165="","",IF(OR(TRIM(AL165&amp;"")&lt;&gt;"",AND(Skills!$B$12&lt;&gt;"",ISNUMBER(SEARCH(Skills!$B$12,AU165)))),1,0))</f>
        <v/>
      </c>
      <c r="BF165" s="23">
        <f>IF(AR165="","",IF(OR(TRIM(AM165&amp;"")&lt;&gt;"",AND(Skills!$B$13&lt;&gt;"",ISNUMBER(SEARCH(Skills!$B$13,AU165)))),1,0))</f>
        <v/>
      </c>
      <c r="BG165" s="23">
        <f>IF(AR165="","",IF(OR(TRIM(AN165&amp;"")&lt;&gt;"",AND(Skills!$B$14&lt;&gt;"",ISNUMBER(SEARCH(Skills!$B$14,AU165)))),1,0))</f>
        <v/>
      </c>
      <c r="BH165" s="23">
        <f>IF(AR165="","",IF(OR(TRIM(AO165&amp;"")&lt;&gt;"",AND(Skills!$B$15&lt;&gt;"",ISNUMBER(SEARCH(Skills!$B$15,AU165)))),1,0))</f>
        <v/>
      </c>
      <c r="BI165" s="23">
        <f>IF(AR165="","",IF(OR(TRIM(AP165&amp;"")&lt;&gt;"",AND(Skills!$B$16&lt;&gt;"",ISNUMBER(SEARCH(Skills!$B$16,AU165)))),1,0))</f>
        <v/>
      </c>
      <c r="BJ165" s="23">
        <f>IF(AR165="","",SUMPRODUCT($AX165:$BI165,Skills!$B$20:$M$20))</f>
        <v/>
      </c>
      <c r="BK165" s="23">
        <f>IF(AR165="","",BJ165*100000+(100000-ROW()))</f>
        <v/>
      </c>
      <c r="BL165" s="31">
        <f>IF(AR165="","",IF((IF(AND(AX165=1,Skills!$B$20=1),Skills!$B$5&amp;", ","")&amp;IF(AND(AY165=1,Skills!$C$20=1),Skills!$B$6&amp;", ","")&amp;IF(AND(AZ165=1,Skills!$D$20=1),Skills!$B$7&amp;", ","")&amp;IF(AND(BA165=1,Skills!$E$20=1),Skills!$B$8&amp;", ","")&amp;IF(AND(BB165=1,Skills!$F$20=1),Skills!$B$9&amp;", ","")&amp;IF(AND(BC165=1,Skills!$G$20=1),Skills!$B$10&amp;", ","")&amp;IF(AND(BD165=1,Skills!$H$20=1),Skills!$B$11&amp;", ","")&amp;IF(AND(BE165=1,Skills!$I$20=1),Skills!$B$12&amp;", ","")&amp;IF(AND(BF165=1,Skills!$J$20=1),Skills!$B$13&amp;", ","")&amp;IF(AND(BG165=1,Skills!$K$20=1),Skills!$B$14&amp;", ","")&amp;IF(AND(BH165=1,Skills!$L$20=1),Skills!$B$15&amp;", ","")&amp;IF(AND(BI165=1,Skills!$M$20=1),Skills!$B$16&amp;", ",""))="","",LEFT(IF(AND(AX165=1,Skills!$B$20=1),Skills!$B$5&amp;", ","")&amp;IF(AND(AY165=1,Skills!$C$20=1),Skills!$B$6&amp;", ","")&amp;IF(AND(AZ165=1,Skills!$D$20=1),Skills!$B$7&amp;", ","")&amp;IF(AND(BA165=1,Skills!$E$20=1),Skills!$B$8&amp;", ","")&amp;IF(AND(BB165=1,Skills!$F$20=1),Skills!$B$9&amp;", ","")&amp;IF(AND(BC165=1,Skills!$G$20=1),Skills!$B$10&amp;", ","")&amp;IF(AND(BD165=1,Skills!$H$20=1),Skills!$B$11&amp;", ","")&amp;IF(AND(BE165=1,Skills!$I$20=1),Skills!$B$12&amp;", ","")&amp;IF(AND(BF165=1,Skills!$J$20=1),Skills!$B$13&amp;", ","")&amp;IF(AND(BG165=1,Skills!$K$20=1),Skills!$B$14&amp;", ","")&amp;IF(AND(BH165=1,Skills!$L$20=1),Skills!$B$15&amp;", ","")&amp;IF(AND(BI165=1,Skills!$M$20=1),Skills!$B$16&amp;", ",""),LEN(IF(AND(AX165=1,Skills!$B$20=1),Skills!$B$5&amp;", ","")&amp;IF(AND(AY165=1,Skills!$C$20=1),Skills!$B$6&amp;", ","")&amp;IF(AND(AZ165=1,Skills!$D$20=1),Skills!$B$7&amp;", ","")&amp;IF(AND(BA165=1,Skills!$E$20=1),Skills!$B$8&amp;", ","")&amp;IF(AND(BB165=1,Skills!$F$20=1),Skills!$B$9&amp;", ","")&amp;IF(AND(BC165=1,Skills!$G$20=1),Skills!$B$10&amp;", ","")&amp;IF(AND(BD165=1,Skills!$H$20=1),Skills!$B$11&amp;", ","")&amp;IF(AND(BE165=1,Skills!$I$20=1),Skills!$B$12&amp;", ","")&amp;IF(AND(BF165=1,Skills!$J$20=1),Skills!$B$13&amp;", ","")&amp;IF(AND(BG165=1,Skills!$K$20=1),Skills!$B$14&amp;", ","")&amp;IF(AND(BH165=1,Skills!$L$20=1),Skills!$B$15&amp;", ","")&amp;IF(AND(BI165=1,Skills!$M$20=1),Skills!$B$16&amp;", ",""))-2)))</f>
        <v/>
      </c>
    </row>
    <row r="166">
      <c r="AD166" s="20" t="n"/>
      <c r="AE166" s="20" t="n"/>
      <c r="AF166" s="20" t="n"/>
      <c r="AG166" s="20" t="n"/>
      <c r="AH166" s="20" t="n"/>
      <c r="AI166" s="20" t="n"/>
      <c r="AJ166" s="20" t="n"/>
      <c r="AK166" s="20" t="n"/>
      <c r="AL166" s="20" t="n"/>
      <c r="AM166" s="20" t="n"/>
      <c r="AN166" s="20" t="n"/>
      <c r="AO166" s="20" t="n"/>
      <c r="AP166" s="20" t="n"/>
      <c r="AR166" s="31">
        <f>IF(IFERROR(TRIM(INDEX($A166:$AB166,MATCH(Lists!$B$5,$A$1:$AB$1,0))&amp;""),"")&lt;&gt;"",IFERROR(TRIM(INDEX($A166:$AB166,MATCH(Lists!$B$5,$A$1:$AB$1,0))&amp;""),""),IFERROR(TRIM(INDEX($A166:$AB166,MATCH(Lists!$B$3,$A$1:$AB$1,0))&amp;""),""))</f>
        <v/>
      </c>
      <c r="AS166" s="31">
        <f>IF(AR166="","",IF(IFERROR(TRIM(INDEX($A166:$AB166,MATCH(Lists!$B$5,$A$1:$AB$1,0))&amp;""),"")&lt;&gt;"","Nominated","Applied"))</f>
        <v/>
      </c>
      <c r="AT166" s="31">
        <f>IF(AR166="","",IF(IFERROR(TRIM(INDEX($A166:$AB166,MATCH(Lists!$B$5,$A$1:$AB$1,0))&amp;""),"")&lt;&gt;"",IFERROR(TRIM(INDEX($A166:$AB166,MATCH(Lists!$B$6,$A$1:$AB$1,0))&amp;""),""),IFERROR(TRIM(INDEX($A166:$AB166,MATCH(Lists!$B$4,$A$1:$AB$1,0))&amp;""),"")))</f>
        <v/>
      </c>
      <c r="AU166" s="31">
        <f>IF(AR166="","",IFERROR(TRIM(INDEX($A166:$AB166,MATCH(Lists!$B$7,$A$1:$AB$1,0))&amp;""),""))</f>
        <v/>
      </c>
      <c r="AV166" s="31">
        <f>IF(AR166="","",IFERROR(TRIM(INDEX($A166:$AB166,MATCH(Lists!$B$9,$A$1:$AB$1,0))&amp;""),""))</f>
        <v/>
      </c>
      <c r="AW166" s="31">
        <f>IF(AR166="","",IFERROR(TRIM(INDEX($A166:$AB166,MATCH(Lists!$B$8,$A$1:$AB$1,0))&amp;""),""))</f>
        <v/>
      </c>
      <c r="AX166" s="23">
        <f>IF(AR166="","",IF(OR(TRIM(AE166&amp;"")&lt;&gt;"",AND(Skills!$B$5&lt;&gt;"",ISNUMBER(SEARCH(Skills!$B$5,AU166)))),1,0))</f>
        <v/>
      </c>
      <c r="AY166" s="23">
        <f>IF(AR166="","",IF(OR(TRIM(AF166&amp;"")&lt;&gt;"",AND(Skills!$B$6&lt;&gt;"",ISNUMBER(SEARCH(Skills!$B$6,AU166)))),1,0))</f>
        <v/>
      </c>
      <c r="AZ166" s="23">
        <f>IF(AR166="","",IF(OR(TRIM(AG166&amp;"")&lt;&gt;"",AND(Skills!$B$7&lt;&gt;"",ISNUMBER(SEARCH(Skills!$B$7,AU166)))),1,0))</f>
        <v/>
      </c>
      <c r="BA166" s="23">
        <f>IF(AR166="","",IF(OR(TRIM(AH166&amp;"")&lt;&gt;"",AND(Skills!$B$8&lt;&gt;"",ISNUMBER(SEARCH(Skills!$B$8,AU166)))),1,0))</f>
        <v/>
      </c>
      <c r="BB166" s="23">
        <f>IF(AR166="","",IF(OR(TRIM(AI166&amp;"")&lt;&gt;"",AND(Skills!$B$9&lt;&gt;"",ISNUMBER(SEARCH(Skills!$B$9,AU166)))),1,0))</f>
        <v/>
      </c>
      <c r="BC166" s="23">
        <f>IF(AR166="","",IF(OR(TRIM(AJ166&amp;"")&lt;&gt;"",AND(Skills!$B$10&lt;&gt;"",ISNUMBER(SEARCH(Skills!$B$10,AU166)))),1,0))</f>
        <v/>
      </c>
      <c r="BD166" s="23">
        <f>IF(AR166="","",IF(OR(TRIM(AK166&amp;"")&lt;&gt;"",AND(Skills!$B$11&lt;&gt;"",ISNUMBER(SEARCH(Skills!$B$11,AU166)))),1,0))</f>
        <v/>
      </c>
      <c r="BE166" s="23">
        <f>IF(AR166="","",IF(OR(TRIM(AL166&amp;"")&lt;&gt;"",AND(Skills!$B$12&lt;&gt;"",ISNUMBER(SEARCH(Skills!$B$12,AU166)))),1,0))</f>
        <v/>
      </c>
      <c r="BF166" s="23">
        <f>IF(AR166="","",IF(OR(TRIM(AM166&amp;"")&lt;&gt;"",AND(Skills!$B$13&lt;&gt;"",ISNUMBER(SEARCH(Skills!$B$13,AU166)))),1,0))</f>
        <v/>
      </c>
      <c r="BG166" s="23">
        <f>IF(AR166="","",IF(OR(TRIM(AN166&amp;"")&lt;&gt;"",AND(Skills!$B$14&lt;&gt;"",ISNUMBER(SEARCH(Skills!$B$14,AU166)))),1,0))</f>
        <v/>
      </c>
      <c r="BH166" s="23">
        <f>IF(AR166="","",IF(OR(TRIM(AO166&amp;"")&lt;&gt;"",AND(Skills!$B$15&lt;&gt;"",ISNUMBER(SEARCH(Skills!$B$15,AU166)))),1,0))</f>
        <v/>
      </c>
      <c r="BI166" s="23">
        <f>IF(AR166="","",IF(OR(TRIM(AP166&amp;"")&lt;&gt;"",AND(Skills!$B$16&lt;&gt;"",ISNUMBER(SEARCH(Skills!$B$16,AU166)))),1,0))</f>
        <v/>
      </c>
      <c r="BJ166" s="23">
        <f>IF(AR166="","",SUMPRODUCT($AX166:$BI166,Skills!$B$20:$M$20))</f>
        <v/>
      </c>
      <c r="BK166" s="23">
        <f>IF(AR166="","",BJ166*100000+(100000-ROW()))</f>
        <v/>
      </c>
      <c r="BL166" s="31">
        <f>IF(AR166="","",IF((IF(AND(AX166=1,Skills!$B$20=1),Skills!$B$5&amp;", ","")&amp;IF(AND(AY166=1,Skills!$C$20=1),Skills!$B$6&amp;", ","")&amp;IF(AND(AZ166=1,Skills!$D$20=1),Skills!$B$7&amp;", ","")&amp;IF(AND(BA166=1,Skills!$E$20=1),Skills!$B$8&amp;", ","")&amp;IF(AND(BB166=1,Skills!$F$20=1),Skills!$B$9&amp;", ","")&amp;IF(AND(BC166=1,Skills!$G$20=1),Skills!$B$10&amp;", ","")&amp;IF(AND(BD166=1,Skills!$H$20=1),Skills!$B$11&amp;", ","")&amp;IF(AND(BE166=1,Skills!$I$20=1),Skills!$B$12&amp;", ","")&amp;IF(AND(BF166=1,Skills!$J$20=1),Skills!$B$13&amp;", ","")&amp;IF(AND(BG166=1,Skills!$K$20=1),Skills!$B$14&amp;", ","")&amp;IF(AND(BH166=1,Skills!$L$20=1),Skills!$B$15&amp;", ","")&amp;IF(AND(BI166=1,Skills!$M$20=1),Skills!$B$16&amp;", ",""))="","",LEFT(IF(AND(AX166=1,Skills!$B$20=1),Skills!$B$5&amp;", ","")&amp;IF(AND(AY166=1,Skills!$C$20=1),Skills!$B$6&amp;", ","")&amp;IF(AND(AZ166=1,Skills!$D$20=1),Skills!$B$7&amp;", ","")&amp;IF(AND(BA166=1,Skills!$E$20=1),Skills!$B$8&amp;", ","")&amp;IF(AND(BB166=1,Skills!$F$20=1),Skills!$B$9&amp;", ","")&amp;IF(AND(BC166=1,Skills!$G$20=1),Skills!$B$10&amp;", ","")&amp;IF(AND(BD166=1,Skills!$H$20=1),Skills!$B$11&amp;", ","")&amp;IF(AND(BE166=1,Skills!$I$20=1),Skills!$B$12&amp;", ","")&amp;IF(AND(BF166=1,Skills!$J$20=1),Skills!$B$13&amp;", ","")&amp;IF(AND(BG166=1,Skills!$K$20=1),Skills!$B$14&amp;", ","")&amp;IF(AND(BH166=1,Skills!$L$20=1),Skills!$B$15&amp;", ","")&amp;IF(AND(BI166=1,Skills!$M$20=1),Skills!$B$16&amp;", ",""),LEN(IF(AND(AX166=1,Skills!$B$20=1),Skills!$B$5&amp;", ","")&amp;IF(AND(AY166=1,Skills!$C$20=1),Skills!$B$6&amp;", ","")&amp;IF(AND(AZ166=1,Skills!$D$20=1),Skills!$B$7&amp;", ","")&amp;IF(AND(BA166=1,Skills!$E$20=1),Skills!$B$8&amp;", ","")&amp;IF(AND(BB166=1,Skills!$F$20=1),Skills!$B$9&amp;", ","")&amp;IF(AND(BC166=1,Skills!$G$20=1),Skills!$B$10&amp;", ","")&amp;IF(AND(BD166=1,Skills!$H$20=1),Skills!$B$11&amp;", ","")&amp;IF(AND(BE166=1,Skills!$I$20=1),Skills!$B$12&amp;", ","")&amp;IF(AND(BF166=1,Skills!$J$20=1),Skills!$B$13&amp;", ","")&amp;IF(AND(BG166=1,Skills!$K$20=1),Skills!$B$14&amp;", ","")&amp;IF(AND(BH166=1,Skills!$L$20=1),Skills!$B$15&amp;", ","")&amp;IF(AND(BI166=1,Skills!$M$20=1),Skills!$B$16&amp;", ",""))-2)))</f>
        <v/>
      </c>
    </row>
    <row r="167">
      <c r="AD167" s="20" t="n"/>
      <c r="AE167" s="20" t="n"/>
      <c r="AF167" s="20" t="n"/>
      <c r="AG167" s="20" t="n"/>
      <c r="AH167" s="20" t="n"/>
      <c r="AI167" s="20" t="n"/>
      <c r="AJ167" s="20" t="n"/>
      <c r="AK167" s="20" t="n"/>
      <c r="AL167" s="20" t="n"/>
      <c r="AM167" s="20" t="n"/>
      <c r="AN167" s="20" t="n"/>
      <c r="AO167" s="20" t="n"/>
      <c r="AP167" s="20" t="n"/>
      <c r="AR167" s="31">
        <f>IF(IFERROR(TRIM(INDEX($A167:$AB167,MATCH(Lists!$B$5,$A$1:$AB$1,0))&amp;""),"")&lt;&gt;"",IFERROR(TRIM(INDEX($A167:$AB167,MATCH(Lists!$B$5,$A$1:$AB$1,0))&amp;""),""),IFERROR(TRIM(INDEX($A167:$AB167,MATCH(Lists!$B$3,$A$1:$AB$1,0))&amp;""),""))</f>
        <v/>
      </c>
      <c r="AS167" s="31">
        <f>IF(AR167="","",IF(IFERROR(TRIM(INDEX($A167:$AB167,MATCH(Lists!$B$5,$A$1:$AB$1,0))&amp;""),"")&lt;&gt;"","Nominated","Applied"))</f>
        <v/>
      </c>
      <c r="AT167" s="31">
        <f>IF(AR167="","",IF(IFERROR(TRIM(INDEX($A167:$AB167,MATCH(Lists!$B$5,$A$1:$AB$1,0))&amp;""),"")&lt;&gt;"",IFERROR(TRIM(INDEX($A167:$AB167,MATCH(Lists!$B$6,$A$1:$AB$1,0))&amp;""),""),IFERROR(TRIM(INDEX($A167:$AB167,MATCH(Lists!$B$4,$A$1:$AB$1,0))&amp;""),"")))</f>
        <v/>
      </c>
      <c r="AU167" s="31">
        <f>IF(AR167="","",IFERROR(TRIM(INDEX($A167:$AB167,MATCH(Lists!$B$7,$A$1:$AB$1,0))&amp;""),""))</f>
        <v/>
      </c>
      <c r="AV167" s="31">
        <f>IF(AR167="","",IFERROR(TRIM(INDEX($A167:$AB167,MATCH(Lists!$B$9,$A$1:$AB$1,0))&amp;""),""))</f>
        <v/>
      </c>
      <c r="AW167" s="31">
        <f>IF(AR167="","",IFERROR(TRIM(INDEX($A167:$AB167,MATCH(Lists!$B$8,$A$1:$AB$1,0))&amp;""),""))</f>
        <v/>
      </c>
      <c r="AX167" s="23">
        <f>IF(AR167="","",IF(OR(TRIM(AE167&amp;"")&lt;&gt;"",AND(Skills!$B$5&lt;&gt;"",ISNUMBER(SEARCH(Skills!$B$5,AU167)))),1,0))</f>
        <v/>
      </c>
      <c r="AY167" s="23">
        <f>IF(AR167="","",IF(OR(TRIM(AF167&amp;"")&lt;&gt;"",AND(Skills!$B$6&lt;&gt;"",ISNUMBER(SEARCH(Skills!$B$6,AU167)))),1,0))</f>
        <v/>
      </c>
      <c r="AZ167" s="23">
        <f>IF(AR167="","",IF(OR(TRIM(AG167&amp;"")&lt;&gt;"",AND(Skills!$B$7&lt;&gt;"",ISNUMBER(SEARCH(Skills!$B$7,AU167)))),1,0))</f>
        <v/>
      </c>
      <c r="BA167" s="23">
        <f>IF(AR167="","",IF(OR(TRIM(AH167&amp;"")&lt;&gt;"",AND(Skills!$B$8&lt;&gt;"",ISNUMBER(SEARCH(Skills!$B$8,AU167)))),1,0))</f>
        <v/>
      </c>
      <c r="BB167" s="23">
        <f>IF(AR167="","",IF(OR(TRIM(AI167&amp;"")&lt;&gt;"",AND(Skills!$B$9&lt;&gt;"",ISNUMBER(SEARCH(Skills!$B$9,AU167)))),1,0))</f>
        <v/>
      </c>
      <c r="BC167" s="23">
        <f>IF(AR167="","",IF(OR(TRIM(AJ167&amp;"")&lt;&gt;"",AND(Skills!$B$10&lt;&gt;"",ISNUMBER(SEARCH(Skills!$B$10,AU167)))),1,0))</f>
        <v/>
      </c>
      <c r="BD167" s="23">
        <f>IF(AR167="","",IF(OR(TRIM(AK167&amp;"")&lt;&gt;"",AND(Skills!$B$11&lt;&gt;"",ISNUMBER(SEARCH(Skills!$B$11,AU167)))),1,0))</f>
        <v/>
      </c>
      <c r="BE167" s="23">
        <f>IF(AR167="","",IF(OR(TRIM(AL167&amp;"")&lt;&gt;"",AND(Skills!$B$12&lt;&gt;"",ISNUMBER(SEARCH(Skills!$B$12,AU167)))),1,0))</f>
        <v/>
      </c>
      <c r="BF167" s="23">
        <f>IF(AR167="","",IF(OR(TRIM(AM167&amp;"")&lt;&gt;"",AND(Skills!$B$13&lt;&gt;"",ISNUMBER(SEARCH(Skills!$B$13,AU167)))),1,0))</f>
        <v/>
      </c>
      <c r="BG167" s="23">
        <f>IF(AR167="","",IF(OR(TRIM(AN167&amp;"")&lt;&gt;"",AND(Skills!$B$14&lt;&gt;"",ISNUMBER(SEARCH(Skills!$B$14,AU167)))),1,0))</f>
        <v/>
      </c>
      <c r="BH167" s="23">
        <f>IF(AR167="","",IF(OR(TRIM(AO167&amp;"")&lt;&gt;"",AND(Skills!$B$15&lt;&gt;"",ISNUMBER(SEARCH(Skills!$B$15,AU167)))),1,0))</f>
        <v/>
      </c>
      <c r="BI167" s="23">
        <f>IF(AR167="","",IF(OR(TRIM(AP167&amp;"")&lt;&gt;"",AND(Skills!$B$16&lt;&gt;"",ISNUMBER(SEARCH(Skills!$B$16,AU167)))),1,0))</f>
        <v/>
      </c>
      <c r="BJ167" s="23">
        <f>IF(AR167="","",SUMPRODUCT($AX167:$BI167,Skills!$B$20:$M$20))</f>
        <v/>
      </c>
      <c r="BK167" s="23">
        <f>IF(AR167="","",BJ167*100000+(100000-ROW()))</f>
        <v/>
      </c>
      <c r="BL167" s="31">
        <f>IF(AR167="","",IF((IF(AND(AX167=1,Skills!$B$20=1),Skills!$B$5&amp;", ","")&amp;IF(AND(AY167=1,Skills!$C$20=1),Skills!$B$6&amp;", ","")&amp;IF(AND(AZ167=1,Skills!$D$20=1),Skills!$B$7&amp;", ","")&amp;IF(AND(BA167=1,Skills!$E$20=1),Skills!$B$8&amp;", ","")&amp;IF(AND(BB167=1,Skills!$F$20=1),Skills!$B$9&amp;", ","")&amp;IF(AND(BC167=1,Skills!$G$20=1),Skills!$B$10&amp;", ","")&amp;IF(AND(BD167=1,Skills!$H$20=1),Skills!$B$11&amp;", ","")&amp;IF(AND(BE167=1,Skills!$I$20=1),Skills!$B$12&amp;", ","")&amp;IF(AND(BF167=1,Skills!$J$20=1),Skills!$B$13&amp;", ","")&amp;IF(AND(BG167=1,Skills!$K$20=1),Skills!$B$14&amp;", ","")&amp;IF(AND(BH167=1,Skills!$L$20=1),Skills!$B$15&amp;", ","")&amp;IF(AND(BI167=1,Skills!$M$20=1),Skills!$B$16&amp;", ",""))="","",LEFT(IF(AND(AX167=1,Skills!$B$20=1),Skills!$B$5&amp;", ","")&amp;IF(AND(AY167=1,Skills!$C$20=1),Skills!$B$6&amp;", ","")&amp;IF(AND(AZ167=1,Skills!$D$20=1),Skills!$B$7&amp;", ","")&amp;IF(AND(BA167=1,Skills!$E$20=1),Skills!$B$8&amp;", ","")&amp;IF(AND(BB167=1,Skills!$F$20=1),Skills!$B$9&amp;", ","")&amp;IF(AND(BC167=1,Skills!$G$20=1),Skills!$B$10&amp;", ","")&amp;IF(AND(BD167=1,Skills!$H$20=1),Skills!$B$11&amp;", ","")&amp;IF(AND(BE167=1,Skills!$I$20=1),Skills!$B$12&amp;", ","")&amp;IF(AND(BF167=1,Skills!$J$20=1),Skills!$B$13&amp;", ","")&amp;IF(AND(BG167=1,Skills!$K$20=1),Skills!$B$14&amp;", ","")&amp;IF(AND(BH167=1,Skills!$L$20=1),Skills!$B$15&amp;", ","")&amp;IF(AND(BI167=1,Skills!$M$20=1),Skills!$B$16&amp;", ",""),LEN(IF(AND(AX167=1,Skills!$B$20=1),Skills!$B$5&amp;", ","")&amp;IF(AND(AY167=1,Skills!$C$20=1),Skills!$B$6&amp;", ","")&amp;IF(AND(AZ167=1,Skills!$D$20=1),Skills!$B$7&amp;", ","")&amp;IF(AND(BA167=1,Skills!$E$20=1),Skills!$B$8&amp;", ","")&amp;IF(AND(BB167=1,Skills!$F$20=1),Skills!$B$9&amp;", ","")&amp;IF(AND(BC167=1,Skills!$G$20=1),Skills!$B$10&amp;", ","")&amp;IF(AND(BD167=1,Skills!$H$20=1),Skills!$B$11&amp;", ","")&amp;IF(AND(BE167=1,Skills!$I$20=1),Skills!$B$12&amp;", ","")&amp;IF(AND(BF167=1,Skills!$J$20=1),Skills!$B$13&amp;", ","")&amp;IF(AND(BG167=1,Skills!$K$20=1),Skills!$B$14&amp;", ","")&amp;IF(AND(BH167=1,Skills!$L$20=1),Skills!$B$15&amp;", ","")&amp;IF(AND(BI167=1,Skills!$M$20=1),Skills!$B$16&amp;", ",""))-2)))</f>
        <v/>
      </c>
    </row>
    <row r="168">
      <c r="AD168" s="20" t="n"/>
      <c r="AE168" s="20" t="n"/>
      <c r="AF168" s="20" t="n"/>
      <c r="AG168" s="20" t="n"/>
      <c r="AH168" s="20" t="n"/>
      <c r="AI168" s="20" t="n"/>
      <c r="AJ168" s="20" t="n"/>
      <c r="AK168" s="20" t="n"/>
      <c r="AL168" s="20" t="n"/>
      <c r="AM168" s="20" t="n"/>
      <c r="AN168" s="20" t="n"/>
      <c r="AO168" s="20" t="n"/>
      <c r="AP168" s="20" t="n"/>
      <c r="AR168" s="31">
        <f>IF(IFERROR(TRIM(INDEX($A168:$AB168,MATCH(Lists!$B$5,$A$1:$AB$1,0))&amp;""),"")&lt;&gt;"",IFERROR(TRIM(INDEX($A168:$AB168,MATCH(Lists!$B$5,$A$1:$AB$1,0))&amp;""),""),IFERROR(TRIM(INDEX($A168:$AB168,MATCH(Lists!$B$3,$A$1:$AB$1,0))&amp;""),""))</f>
        <v/>
      </c>
      <c r="AS168" s="31">
        <f>IF(AR168="","",IF(IFERROR(TRIM(INDEX($A168:$AB168,MATCH(Lists!$B$5,$A$1:$AB$1,0))&amp;""),"")&lt;&gt;"","Nominated","Applied"))</f>
        <v/>
      </c>
      <c r="AT168" s="31">
        <f>IF(AR168="","",IF(IFERROR(TRIM(INDEX($A168:$AB168,MATCH(Lists!$B$5,$A$1:$AB$1,0))&amp;""),"")&lt;&gt;"",IFERROR(TRIM(INDEX($A168:$AB168,MATCH(Lists!$B$6,$A$1:$AB$1,0))&amp;""),""),IFERROR(TRIM(INDEX($A168:$AB168,MATCH(Lists!$B$4,$A$1:$AB$1,0))&amp;""),"")))</f>
        <v/>
      </c>
      <c r="AU168" s="31">
        <f>IF(AR168="","",IFERROR(TRIM(INDEX($A168:$AB168,MATCH(Lists!$B$7,$A$1:$AB$1,0))&amp;""),""))</f>
        <v/>
      </c>
      <c r="AV168" s="31">
        <f>IF(AR168="","",IFERROR(TRIM(INDEX($A168:$AB168,MATCH(Lists!$B$9,$A$1:$AB$1,0))&amp;""),""))</f>
        <v/>
      </c>
      <c r="AW168" s="31">
        <f>IF(AR168="","",IFERROR(TRIM(INDEX($A168:$AB168,MATCH(Lists!$B$8,$A$1:$AB$1,0))&amp;""),""))</f>
        <v/>
      </c>
      <c r="AX168" s="23">
        <f>IF(AR168="","",IF(OR(TRIM(AE168&amp;"")&lt;&gt;"",AND(Skills!$B$5&lt;&gt;"",ISNUMBER(SEARCH(Skills!$B$5,AU168)))),1,0))</f>
        <v/>
      </c>
      <c r="AY168" s="23">
        <f>IF(AR168="","",IF(OR(TRIM(AF168&amp;"")&lt;&gt;"",AND(Skills!$B$6&lt;&gt;"",ISNUMBER(SEARCH(Skills!$B$6,AU168)))),1,0))</f>
        <v/>
      </c>
      <c r="AZ168" s="23">
        <f>IF(AR168="","",IF(OR(TRIM(AG168&amp;"")&lt;&gt;"",AND(Skills!$B$7&lt;&gt;"",ISNUMBER(SEARCH(Skills!$B$7,AU168)))),1,0))</f>
        <v/>
      </c>
      <c r="BA168" s="23">
        <f>IF(AR168="","",IF(OR(TRIM(AH168&amp;"")&lt;&gt;"",AND(Skills!$B$8&lt;&gt;"",ISNUMBER(SEARCH(Skills!$B$8,AU168)))),1,0))</f>
        <v/>
      </c>
      <c r="BB168" s="23">
        <f>IF(AR168="","",IF(OR(TRIM(AI168&amp;"")&lt;&gt;"",AND(Skills!$B$9&lt;&gt;"",ISNUMBER(SEARCH(Skills!$B$9,AU168)))),1,0))</f>
        <v/>
      </c>
      <c r="BC168" s="23">
        <f>IF(AR168="","",IF(OR(TRIM(AJ168&amp;"")&lt;&gt;"",AND(Skills!$B$10&lt;&gt;"",ISNUMBER(SEARCH(Skills!$B$10,AU168)))),1,0))</f>
        <v/>
      </c>
      <c r="BD168" s="23">
        <f>IF(AR168="","",IF(OR(TRIM(AK168&amp;"")&lt;&gt;"",AND(Skills!$B$11&lt;&gt;"",ISNUMBER(SEARCH(Skills!$B$11,AU168)))),1,0))</f>
        <v/>
      </c>
      <c r="BE168" s="23">
        <f>IF(AR168="","",IF(OR(TRIM(AL168&amp;"")&lt;&gt;"",AND(Skills!$B$12&lt;&gt;"",ISNUMBER(SEARCH(Skills!$B$12,AU168)))),1,0))</f>
        <v/>
      </c>
      <c r="BF168" s="23">
        <f>IF(AR168="","",IF(OR(TRIM(AM168&amp;"")&lt;&gt;"",AND(Skills!$B$13&lt;&gt;"",ISNUMBER(SEARCH(Skills!$B$13,AU168)))),1,0))</f>
        <v/>
      </c>
      <c r="BG168" s="23">
        <f>IF(AR168="","",IF(OR(TRIM(AN168&amp;"")&lt;&gt;"",AND(Skills!$B$14&lt;&gt;"",ISNUMBER(SEARCH(Skills!$B$14,AU168)))),1,0))</f>
        <v/>
      </c>
      <c r="BH168" s="23">
        <f>IF(AR168="","",IF(OR(TRIM(AO168&amp;"")&lt;&gt;"",AND(Skills!$B$15&lt;&gt;"",ISNUMBER(SEARCH(Skills!$B$15,AU168)))),1,0))</f>
        <v/>
      </c>
      <c r="BI168" s="23">
        <f>IF(AR168="","",IF(OR(TRIM(AP168&amp;"")&lt;&gt;"",AND(Skills!$B$16&lt;&gt;"",ISNUMBER(SEARCH(Skills!$B$16,AU168)))),1,0))</f>
        <v/>
      </c>
      <c r="BJ168" s="23">
        <f>IF(AR168="","",SUMPRODUCT($AX168:$BI168,Skills!$B$20:$M$20))</f>
        <v/>
      </c>
      <c r="BK168" s="23">
        <f>IF(AR168="","",BJ168*100000+(100000-ROW()))</f>
        <v/>
      </c>
      <c r="BL168" s="31">
        <f>IF(AR168="","",IF((IF(AND(AX168=1,Skills!$B$20=1),Skills!$B$5&amp;", ","")&amp;IF(AND(AY168=1,Skills!$C$20=1),Skills!$B$6&amp;", ","")&amp;IF(AND(AZ168=1,Skills!$D$20=1),Skills!$B$7&amp;", ","")&amp;IF(AND(BA168=1,Skills!$E$20=1),Skills!$B$8&amp;", ","")&amp;IF(AND(BB168=1,Skills!$F$20=1),Skills!$B$9&amp;", ","")&amp;IF(AND(BC168=1,Skills!$G$20=1),Skills!$B$10&amp;", ","")&amp;IF(AND(BD168=1,Skills!$H$20=1),Skills!$B$11&amp;", ","")&amp;IF(AND(BE168=1,Skills!$I$20=1),Skills!$B$12&amp;", ","")&amp;IF(AND(BF168=1,Skills!$J$20=1),Skills!$B$13&amp;", ","")&amp;IF(AND(BG168=1,Skills!$K$20=1),Skills!$B$14&amp;", ","")&amp;IF(AND(BH168=1,Skills!$L$20=1),Skills!$B$15&amp;", ","")&amp;IF(AND(BI168=1,Skills!$M$20=1),Skills!$B$16&amp;", ",""))="","",LEFT(IF(AND(AX168=1,Skills!$B$20=1),Skills!$B$5&amp;", ","")&amp;IF(AND(AY168=1,Skills!$C$20=1),Skills!$B$6&amp;", ","")&amp;IF(AND(AZ168=1,Skills!$D$20=1),Skills!$B$7&amp;", ","")&amp;IF(AND(BA168=1,Skills!$E$20=1),Skills!$B$8&amp;", ","")&amp;IF(AND(BB168=1,Skills!$F$20=1),Skills!$B$9&amp;", ","")&amp;IF(AND(BC168=1,Skills!$G$20=1),Skills!$B$10&amp;", ","")&amp;IF(AND(BD168=1,Skills!$H$20=1),Skills!$B$11&amp;", ","")&amp;IF(AND(BE168=1,Skills!$I$20=1),Skills!$B$12&amp;", ","")&amp;IF(AND(BF168=1,Skills!$J$20=1),Skills!$B$13&amp;", ","")&amp;IF(AND(BG168=1,Skills!$K$20=1),Skills!$B$14&amp;", ","")&amp;IF(AND(BH168=1,Skills!$L$20=1),Skills!$B$15&amp;", ","")&amp;IF(AND(BI168=1,Skills!$M$20=1),Skills!$B$16&amp;", ",""),LEN(IF(AND(AX168=1,Skills!$B$20=1),Skills!$B$5&amp;", ","")&amp;IF(AND(AY168=1,Skills!$C$20=1),Skills!$B$6&amp;", ","")&amp;IF(AND(AZ168=1,Skills!$D$20=1),Skills!$B$7&amp;", ","")&amp;IF(AND(BA168=1,Skills!$E$20=1),Skills!$B$8&amp;", ","")&amp;IF(AND(BB168=1,Skills!$F$20=1),Skills!$B$9&amp;", ","")&amp;IF(AND(BC168=1,Skills!$G$20=1),Skills!$B$10&amp;", ","")&amp;IF(AND(BD168=1,Skills!$H$20=1),Skills!$B$11&amp;", ","")&amp;IF(AND(BE168=1,Skills!$I$20=1),Skills!$B$12&amp;", ","")&amp;IF(AND(BF168=1,Skills!$J$20=1),Skills!$B$13&amp;", ","")&amp;IF(AND(BG168=1,Skills!$K$20=1),Skills!$B$14&amp;", ","")&amp;IF(AND(BH168=1,Skills!$L$20=1),Skills!$B$15&amp;", ","")&amp;IF(AND(BI168=1,Skills!$M$20=1),Skills!$B$16&amp;", ",""))-2)))</f>
        <v/>
      </c>
    </row>
    <row r="169">
      <c r="AD169" s="20" t="n"/>
      <c r="AE169" s="20" t="n"/>
      <c r="AF169" s="20" t="n"/>
      <c r="AG169" s="20" t="n"/>
      <c r="AH169" s="20" t="n"/>
      <c r="AI169" s="20" t="n"/>
      <c r="AJ169" s="20" t="n"/>
      <c r="AK169" s="20" t="n"/>
      <c r="AL169" s="20" t="n"/>
      <c r="AM169" s="20" t="n"/>
      <c r="AN169" s="20" t="n"/>
      <c r="AO169" s="20" t="n"/>
      <c r="AP169" s="20" t="n"/>
      <c r="AR169" s="31">
        <f>IF(IFERROR(TRIM(INDEX($A169:$AB169,MATCH(Lists!$B$5,$A$1:$AB$1,0))&amp;""),"")&lt;&gt;"",IFERROR(TRIM(INDEX($A169:$AB169,MATCH(Lists!$B$5,$A$1:$AB$1,0))&amp;""),""),IFERROR(TRIM(INDEX($A169:$AB169,MATCH(Lists!$B$3,$A$1:$AB$1,0))&amp;""),""))</f>
        <v/>
      </c>
      <c r="AS169" s="31">
        <f>IF(AR169="","",IF(IFERROR(TRIM(INDEX($A169:$AB169,MATCH(Lists!$B$5,$A$1:$AB$1,0))&amp;""),"")&lt;&gt;"","Nominated","Applied"))</f>
        <v/>
      </c>
      <c r="AT169" s="31">
        <f>IF(AR169="","",IF(IFERROR(TRIM(INDEX($A169:$AB169,MATCH(Lists!$B$5,$A$1:$AB$1,0))&amp;""),"")&lt;&gt;"",IFERROR(TRIM(INDEX($A169:$AB169,MATCH(Lists!$B$6,$A$1:$AB$1,0))&amp;""),""),IFERROR(TRIM(INDEX($A169:$AB169,MATCH(Lists!$B$4,$A$1:$AB$1,0))&amp;""),"")))</f>
        <v/>
      </c>
      <c r="AU169" s="31">
        <f>IF(AR169="","",IFERROR(TRIM(INDEX($A169:$AB169,MATCH(Lists!$B$7,$A$1:$AB$1,0))&amp;""),""))</f>
        <v/>
      </c>
      <c r="AV169" s="31">
        <f>IF(AR169="","",IFERROR(TRIM(INDEX($A169:$AB169,MATCH(Lists!$B$9,$A$1:$AB$1,0))&amp;""),""))</f>
        <v/>
      </c>
      <c r="AW169" s="31">
        <f>IF(AR169="","",IFERROR(TRIM(INDEX($A169:$AB169,MATCH(Lists!$B$8,$A$1:$AB$1,0))&amp;""),""))</f>
        <v/>
      </c>
      <c r="AX169" s="23">
        <f>IF(AR169="","",IF(OR(TRIM(AE169&amp;"")&lt;&gt;"",AND(Skills!$B$5&lt;&gt;"",ISNUMBER(SEARCH(Skills!$B$5,AU169)))),1,0))</f>
        <v/>
      </c>
      <c r="AY169" s="23">
        <f>IF(AR169="","",IF(OR(TRIM(AF169&amp;"")&lt;&gt;"",AND(Skills!$B$6&lt;&gt;"",ISNUMBER(SEARCH(Skills!$B$6,AU169)))),1,0))</f>
        <v/>
      </c>
      <c r="AZ169" s="23">
        <f>IF(AR169="","",IF(OR(TRIM(AG169&amp;"")&lt;&gt;"",AND(Skills!$B$7&lt;&gt;"",ISNUMBER(SEARCH(Skills!$B$7,AU169)))),1,0))</f>
        <v/>
      </c>
      <c r="BA169" s="23">
        <f>IF(AR169="","",IF(OR(TRIM(AH169&amp;"")&lt;&gt;"",AND(Skills!$B$8&lt;&gt;"",ISNUMBER(SEARCH(Skills!$B$8,AU169)))),1,0))</f>
        <v/>
      </c>
      <c r="BB169" s="23">
        <f>IF(AR169="","",IF(OR(TRIM(AI169&amp;"")&lt;&gt;"",AND(Skills!$B$9&lt;&gt;"",ISNUMBER(SEARCH(Skills!$B$9,AU169)))),1,0))</f>
        <v/>
      </c>
      <c r="BC169" s="23">
        <f>IF(AR169="","",IF(OR(TRIM(AJ169&amp;"")&lt;&gt;"",AND(Skills!$B$10&lt;&gt;"",ISNUMBER(SEARCH(Skills!$B$10,AU169)))),1,0))</f>
        <v/>
      </c>
      <c r="BD169" s="23">
        <f>IF(AR169="","",IF(OR(TRIM(AK169&amp;"")&lt;&gt;"",AND(Skills!$B$11&lt;&gt;"",ISNUMBER(SEARCH(Skills!$B$11,AU169)))),1,0))</f>
        <v/>
      </c>
      <c r="BE169" s="23">
        <f>IF(AR169="","",IF(OR(TRIM(AL169&amp;"")&lt;&gt;"",AND(Skills!$B$12&lt;&gt;"",ISNUMBER(SEARCH(Skills!$B$12,AU169)))),1,0))</f>
        <v/>
      </c>
      <c r="BF169" s="23">
        <f>IF(AR169="","",IF(OR(TRIM(AM169&amp;"")&lt;&gt;"",AND(Skills!$B$13&lt;&gt;"",ISNUMBER(SEARCH(Skills!$B$13,AU169)))),1,0))</f>
        <v/>
      </c>
      <c r="BG169" s="23">
        <f>IF(AR169="","",IF(OR(TRIM(AN169&amp;"")&lt;&gt;"",AND(Skills!$B$14&lt;&gt;"",ISNUMBER(SEARCH(Skills!$B$14,AU169)))),1,0))</f>
        <v/>
      </c>
      <c r="BH169" s="23">
        <f>IF(AR169="","",IF(OR(TRIM(AO169&amp;"")&lt;&gt;"",AND(Skills!$B$15&lt;&gt;"",ISNUMBER(SEARCH(Skills!$B$15,AU169)))),1,0))</f>
        <v/>
      </c>
      <c r="BI169" s="23">
        <f>IF(AR169="","",IF(OR(TRIM(AP169&amp;"")&lt;&gt;"",AND(Skills!$B$16&lt;&gt;"",ISNUMBER(SEARCH(Skills!$B$16,AU169)))),1,0))</f>
        <v/>
      </c>
      <c r="BJ169" s="23">
        <f>IF(AR169="","",SUMPRODUCT($AX169:$BI169,Skills!$B$20:$M$20))</f>
        <v/>
      </c>
      <c r="BK169" s="23">
        <f>IF(AR169="","",BJ169*100000+(100000-ROW()))</f>
        <v/>
      </c>
      <c r="BL169" s="31">
        <f>IF(AR169="","",IF((IF(AND(AX169=1,Skills!$B$20=1),Skills!$B$5&amp;", ","")&amp;IF(AND(AY169=1,Skills!$C$20=1),Skills!$B$6&amp;", ","")&amp;IF(AND(AZ169=1,Skills!$D$20=1),Skills!$B$7&amp;", ","")&amp;IF(AND(BA169=1,Skills!$E$20=1),Skills!$B$8&amp;", ","")&amp;IF(AND(BB169=1,Skills!$F$20=1),Skills!$B$9&amp;", ","")&amp;IF(AND(BC169=1,Skills!$G$20=1),Skills!$B$10&amp;", ","")&amp;IF(AND(BD169=1,Skills!$H$20=1),Skills!$B$11&amp;", ","")&amp;IF(AND(BE169=1,Skills!$I$20=1),Skills!$B$12&amp;", ","")&amp;IF(AND(BF169=1,Skills!$J$20=1),Skills!$B$13&amp;", ","")&amp;IF(AND(BG169=1,Skills!$K$20=1),Skills!$B$14&amp;", ","")&amp;IF(AND(BH169=1,Skills!$L$20=1),Skills!$B$15&amp;", ","")&amp;IF(AND(BI169=1,Skills!$M$20=1),Skills!$B$16&amp;", ",""))="","",LEFT(IF(AND(AX169=1,Skills!$B$20=1),Skills!$B$5&amp;", ","")&amp;IF(AND(AY169=1,Skills!$C$20=1),Skills!$B$6&amp;", ","")&amp;IF(AND(AZ169=1,Skills!$D$20=1),Skills!$B$7&amp;", ","")&amp;IF(AND(BA169=1,Skills!$E$20=1),Skills!$B$8&amp;", ","")&amp;IF(AND(BB169=1,Skills!$F$20=1),Skills!$B$9&amp;", ","")&amp;IF(AND(BC169=1,Skills!$G$20=1),Skills!$B$10&amp;", ","")&amp;IF(AND(BD169=1,Skills!$H$20=1),Skills!$B$11&amp;", ","")&amp;IF(AND(BE169=1,Skills!$I$20=1),Skills!$B$12&amp;", ","")&amp;IF(AND(BF169=1,Skills!$J$20=1),Skills!$B$13&amp;", ","")&amp;IF(AND(BG169=1,Skills!$K$20=1),Skills!$B$14&amp;", ","")&amp;IF(AND(BH169=1,Skills!$L$20=1),Skills!$B$15&amp;", ","")&amp;IF(AND(BI169=1,Skills!$M$20=1),Skills!$B$16&amp;", ",""),LEN(IF(AND(AX169=1,Skills!$B$20=1),Skills!$B$5&amp;", ","")&amp;IF(AND(AY169=1,Skills!$C$20=1),Skills!$B$6&amp;", ","")&amp;IF(AND(AZ169=1,Skills!$D$20=1),Skills!$B$7&amp;", ","")&amp;IF(AND(BA169=1,Skills!$E$20=1),Skills!$B$8&amp;", ","")&amp;IF(AND(BB169=1,Skills!$F$20=1),Skills!$B$9&amp;", ","")&amp;IF(AND(BC169=1,Skills!$G$20=1),Skills!$B$10&amp;", ","")&amp;IF(AND(BD169=1,Skills!$H$20=1),Skills!$B$11&amp;", ","")&amp;IF(AND(BE169=1,Skills!$I$20=1),Skills!$B$12&amp;", ","")&amp;IF(AND(BF169=1,Skills!$J$20=1),Skills!$B$13&amp;", ","")&amp;IF(AND(BG169=1,Skills!$K$20=1),Skills!$B$14&amp;", ","")&amp;IF(AND(BH169=1,Skills!$L$20=1),Skills!$B$15&amp;", ","")&amp;IF(AND(BI169=1,Skills!$M$20=1),Skills!$B$16&amp;", ",""))-2)))</f>
        <v/>
      </c>
    </row>
    <row r="170">
      <c r="AD170" s="20" t="n"/>
      <c r="AE170" s="20" t="n"/>
      <c r="AF170" s="20" t="n"/>
      <c r="AG170" s="20" t="n"/>
      <c r="AH170" s="20" t="n"/>
      <c r="AI170" s="20" t="n"/>
      <c r="AJ170" s="20" t="n"/>
      <c r="AK170" s="20" t="n"/>
      <c r="AL170" s="20" t="n"/>
      <c r="AM170" s="20" t="n"/>
      <c r="AN170" s="20" t="n"/>
      <c r="AO170" s="20" t="n"/>
      <c r="AP170" s="20" t="n"/>
      <c r="AR170" s="31">
        <f>IF(IFERROR(TRIM(INDEX($A170:$AB170,MATCH(Lists!$B$5,$A$1:$AB$1,0))&amp;""),"")&lt;&gt;"",IFERROR(TRIM(INDEX($A170:$AB170,MATCH(Lists!$B$5,$A$1:$AB$1,0))&amp;""),""),IFERROR(TRIM(INDEX($A170:$AB170,MATCH(Lists!$B$3,$A$1:$AB$1,0))&amp;""),""))</f>
        <v/>
      </c>
      <c r="AS170" s="31">
        <f>IF(AR170="","",IF(IFERROR(TRIM(INDEX($A170:$AB170,MATCH(Lists!$B$5,$A$1:$AB$1,0))&amp;""),"")&lt;&gt;"","Nominated","Applied"))</f>
        <v/>
      </c>
      <c r="AT170" s="31">
        <f>IF(AR170="","",IF(IFERROR(TRIM(INDEX($A170:$AB170,MATCH(Lists!$B$5,$A$1:$AB$1,0))&amp;""),"")&lt;&gt;"",IFERROR(TRIM(INDEX($A170:$AB170,MATCH(Lists!$B$6,$A$1:$AB$1,0))&amp;""),""),IFERROR(TRIM(INDEX($A170:$AB170,MATCH(Lists!$B$4,$A$1:$AB$1,0))&amp;""),"")))</f>
        <v/>
      </c>
      <c r="AU170" s="31">
        <f>IF(AR170="","",IFERROR(TRIM(INDEX($A170:$AB170,MATCH(Lists!$B$7,$A$1:$AB$1,0))&amp;""),""))</f>
        <v/>
      </c>
      <c r="AV170" s="31">
        <f>IF(AR170="","",IFERROR(TRIM(INDEX($A170:$AB170,MATCH(Lists!$B$9,$A$1:$AB$1,0))&amp;""),""))</f>
        <v/>
      </c>
      <c r="AW170" s="31">
        <f>IF(AR170="","",IFERROR(TRIM(INDEX($A170:$AB170,MATCH(Lists!$B$8,$A$1:$AB$1,0))&amp;""),""))</f>
        <v/>
      </c>
      <c r="AX170" s="23">
        <f>IF(AR170="","",IF(OR(TRIM(AE170&amp;"")&lt;&gt;"",AND(Skills!$B$5&lt;&gt;"",ISNUMBER(SEARCH(Skills!$B$5,AU170)))),1,0))</f>
        <v/>
      </c>
      <c r="AY170" s="23">
        <f>IF(AR170="","",IF(OR(TRIM(AF170&amp;"")&lt;&gt;"",AND(Skills!$B$6&lt;&gt;"",ISNUMBER(SEARCH(Skills!$B$6,AU170)))),1,0))</f>
        <v/>
      </c>
      <c r="AZ170" s="23">
        <f>IF(AR170="","",IF(OR(TRIM(AG170&amp;"")&lt;&gt;"",AND(Skills!$B$7&lt;&gt;"",ISNUMBER(SEARCH(Skills!$B$7,AU170)))),1,0))</f>
        <v/>
      </c>
      <c r="BA170" s="23">
        <f>IF(AR170="","",IF(OR(TRIM(AH170&amp;"")&lt;&gt;"",AND(Skills!$B$8&lt;&gt;"",ISNUMBER(SEARCH(Skills!$B$8,AU170)))),1,0))</f>
        <v/>
      </c>
      <c r="BB170" s="23">
        <f>IF(AR170="","",IF(OR(TRIM(AI170&amp;"")&lt;&gt;"",AND(Skills!$B$9&lt;&gt;"",ISNUMBER(SEARCH(Skills!$B$9,AU170)))),1,0))</f>
        <v/>
      </c>
      <c r="BC170" s="23">
        <f>IF(AR170="","",IF(OR(TRIM(AJ170&amp;"")&lt;&gt;"",AND(Skills!$B$10&lt;&gt;"",ISNUMBER(SEARCH(Skills!$B$10,AU170)))),1,0))</f>
        <v/>
      </c>
      <c r="BD170" s="23">
        <f>IF(AR170="","",IF(OR(TRIM(AK170&amp;"")&lt;&gt;"",AND(Skills!$B$11&lt;&gt;"",ISNUMBER(SEARCH(Skills!$B$11,AU170)))),1,0))</f>
        <v/>
      </c>
      <c r="BE170" s="23">
        <f>IF(AR170="","",IF(OR(TRIM(AL170&amp;"")&lt;&gt;"",AND(Skills!$B$12&lt;&gt;"",ISNUMBER(SEARCH(Skills!$B$12,AU170)))),1,0))</f>
        <v/>
      </c>
      <c r="BF170" s="23">
        <f>IF(AR170="","",IF(OR(TRIM(AM170&amp;"")&lt;&gt;"",AND(Skills!$B$13&lt;&gt;"",ISNUMBER(SEARCH(Skills!$B$13,AU170)))),1,0))</f>
        <v/>
      </c>
      <c r="BG170" s="23">
        <f>IF(AR170="","",IF(OR(TRIM(AN170&amp;"")&lt;&gt;"",AND(Skills!$B$14&lt;&gt;"",ISNUMBER(SEARCH(Skills!$B$14,AU170)))),1,0))</f>
        <v/>
      </c>
      <c r="BH170" s="23">
        <f>IF(AR170="","",IF(OR(TRIM(AO170&amp;"")&lt;&gt;"",AND(Skills!$B$15&lt;&gt;"",ISNUMBER(SEARCH(Skills!$B$15,AU170)))),1,0))</f>
        <v/>
      </c>
      <c r="BI170" s="23">
        <f>IF(AR170="","",IF(OR(TRIM(AP170&amp;"")&lt;&gt;"",AND(Skills!$B$16&lt;&gt;"",ISNUMBER(SEARCH(Skills!$B$16,AU170)))),1,0))</f>
        <v/>
      </c>
      <c r="BJ170" s="23">
        <f>IF(AR170="","",SUMPRODUCT($AX170:$BI170,Skills!$B$20:$M$20))</f>
        <v/>
      </c>
      <c r="BK170" s="23">
        <f>IF(AR170="","",BJ170*100000+(100000-ROW()))</f>
        <v/>
      </c>
      <c r="BL170" s="31">
        <f>IF(AR170="","",IF((IF(AND(AX170=1,Skills!$B$20=1),Skills!$B$5&amp;", ","")&amp;IF(AND(AY170=1,Skills!$C$20=1),Skills!$B$6&amp;", ","")&amp;IF(AND(AZ170=1,Skills!$D$20=1),Skills!$B$7&amp;", ","")&amp;IF(AND(BA170=1,Skills!$E$20=1),Skills!$B$8&amp;", ","")&amp;IF(AND(BB170=1,Skills!$F$20=1),Skills!$B$9&amp;", ","")&amp;IF(AND(BC170=1,Skills!$G$20=1),Skills!$B$10&amp;", ","")&amp;IF(AND(BD170=1,Skills!$H$20=1),Skills!$B$11&amp;", ","")&amp;IF(AND(BE170=1,Skills!$I$20=1),Skills!$B$12&amp;", ","")&amp;IF(AND(BF170=1,Skills!$J$20=1),Skills!$B$13&amp;", ","")&amp;IF(AND(BG170=1,Skills!$K$20=1),Skills!$B$14&amp;", ","")&amp;IF(AND(BH170=1,Skills!$L$20=1),Skills!$B$15&amp;", ","")&amp;IF(AND(BI170=1,Skills!$M$20=1),Skills!$B$16&amp;", ",""))="","",LEFT(IF(AND(AX170=1,Skills!$B$20=1),Skills!$B$5&amp;", ","")&amp;IF(AND(AY170=1,Skills!$C$20=1),Skills!$B$6&amp;", ","")&amp;IF(AND(AZ170=1,Skills!$D$20=1),Skills!$B$7&amp;", ","")&amp;IF(AND(BA170=1,Skills!$E$20=1),Skills!$B$8&amp;", ","")&amp;IF(AND(BB170=1,Skills!$F$20=1),Skills!$B$9&amp;", ","")&amp;IF(AND(BC170=1,Skills!$G$20=1),Skills!$B$10&amp;", ","")&amp;IF(AND(BD170=1,Skills!$H$20=1),Skills!$B$11&amp;", ","")&amp;IF(AND(BE170=1,Skills!$I$20=1),Skills!$B$12&amp;", ","")&amp;IF(AND(BF170=1,Skills!$J$20=1),Skills!$B$13&amp;", ","")&amp;IF(AND(BG170=1,Skills!$K$20=1),Skills!$B$14&amp;", ","")&amp;IF(AND(BH170=1,Skills!$L$20=1),Skills!$B$15&amp;", ","")&amp;IF(AND(BI170=1,Skills!$M$20=1),Skills!$B$16&amp;", ",""),LEN(IF(AND(AX170=1,Skills!$B$20=1),Skills!$B$5&amp;", ","")&amp;IF(AND(AY170=1,Skills!$C$20=1),Skills!$B$6&amp;", ","")&amp;IF(AND(AZ170=1,Skills!$D$20=1),Skills!$B$7&amp;", ","")&amp;IF(AND(BA170=1,Skills!$E$20=1),Skills!$B$8&amp;", ","")&amp;IF(AND(BB170=1,Skills!$F$20=1),Skills!$B$9&amp;", ","")&amp;IF(AND(BC170=1,Skills!$G$20=1),Skills!$B$10&amp;", ","")&amp;IF(AND(BD170=1,Skills!$H$20=1),Skills!$B$11&amp;", ","")&amp;IF(AND(BE170=1,Skills!$I$20=1),Skills!$B$12&amp;", ","")&amp;IF(AND(BF170=1,Skills!$J$20=1),Skills!$B$13&amp;", ","")&amp;IF(AND(BG170=1,Skills!$K$20=1),Skills!$B$14&amp;", ","")&amp;IF(AND(BH170=1,Skills!$L$20=1),Skills!$B$15&amp;", ","")&amp;IF(AND(BI170=1,Skills!$M$20=1),Skills!$B$16&amp;", ",""))-2)))</f>
        <v/>
      </c>
    </row>
    <row r="171">
      <c r="AD171" s="20" t="n"/>
      <c r="AE171" s="20" t="n"/>
      <c r="AF171" s="20" t="n"/>
      <c r="AG171" s="20" t="n"/>
      <c r="AH171" s="20" t="n"/>
      <c r="AI171" s="20" t="n"/>
      <c r="AJ171" s="20" t="n"/>
      <c r="AK171" s="20" t="n"/>
      <c r="AL171" s="20" t="n"/>
      <c r="AM171" s="20" t="n"/>
      <c r="AN171" s="20" t="n"/>
      <c r="AO171" s="20" t="n"/>
      <c r="AP171" s="20" t="n"/>
      <c r="AR171" s="31">
        <f>IF(IFERROR(TRIM(INDEX($A171:$AB171,MATCH(Lists!$B$5,$A$1:$AB$1,0))&amp;""),"")&lt;&gt;"",IFERROR(TRIM(INDEX($A171:$AB171,MATCH(Lists!$B$5,$A$1:$AB$1,0))&amp;""),""),IFERROR(TRIM(INDEX($A171:$AB171,MATCH(Lists!$B$3,$A$1:$AB$1,0))&amp;""),""))</f>
        <v/>
      </c>
      <c r="AS171" s="31">
        <f>IF(AR171="","",IF(IFERROR(TRIM(INDEX($A171:$AB171,MATCH(Lists!$B$5,$A$1:$AB$1,0))&amp;""),"")&lt;&gt;"","Nominated","Applied"))</f>
        <v/>
      </c>
      <c r="AT171" s="31">
        <f>IF(AR171="","",IF(IFERROR(TRIM(INDEX($A171:$AB171,MATCH(Lists!$B$5,$A$1:$AB$1,0))&amp;""),"")&lt;&gt;"",IFERROR(TRIM(INDEX($A171:$AB171,MATCH(Lists!$B$6,$A$1:$AB$1,0))&amp;""),""),IFERROR(TRIM(INDEX($A171:$AB171,MATCH(Lists!$B$4,$A$1:$AB$1,0))&amp;""),"")))</f>
        <v/>
      </c>
      <c r="AU171" s="31">
        <f>IF(AR171="","",IFERROR(TRIM(INDEX($A171:$AB171,MATCH(Lists!$B$7,$A$1:$AB$1,0))&amp;""),""))</f>
        <v/>
      </c>
      <c r="AV171" s="31">
        <f>IF(AR171="","",IFERROR(TRIM(INDEX($A171:$AB171,MATCH(Lists!$B$9,$A$1:$AB$1,0))&amp;""),""))</f>
        <v/>
      </c>
      <c r="AW171" s="31">
        <f>IF(AR171="","",IFERROR(TRIM(INDEX($A171:$AB171,MATCH(Lists!$B$8,$A$1:$AB$1,0))&amp;""),""))</f>
        <v/>
      </c>
      <c r="AX171" s="23">
        <f>IF(AR171="","",IF(OR(TRIM(AE171&amp;"")&lt;&gt;"",AND(Skills!$B$5&lt;&gt;"",ISNUMBER(SEARCH(Skills!$B$5,AU171)))),1,0))</f>
        <v/>
      </c>
      <c r="AY171" s="23">
        <f>IF(AR171="","",IF(OR(TRIM(AF171&amp;"")&lt;&gt;"",AND(Skills!$B$6&lt;&gt;"",ISNUMBER(SEARCH(Skills!$B$6,AU171)))),1,0))</f>
        <v/>
      </c>
      <c r="AZ171" s="23">
        <f>IF(AR171="","",IF(OR(TRIM(AG171&amp;"")&lt;&gt;"",AND(Skills!$B$7&lt;&gt;"",ISNUMBER(SEARCH(Skills!$B$7,AU171)))),1,0))</f>
        <v/>
      </c>
      <c r="BA171" s="23">
        <f>IF(AR171="","",IF(OR(TRIM(AH171&amp;"")&lt;&gt;"",AND(Skills!$B$8&lt;&gt;"",ISNUMBER(SEARCH(Skills!$B$8,AU171)))),1,0))</f>
        <v/>
      </c>
      <c r="BB171" s="23">
        <f>IF(AR171="","",IF(OR(TRIM(AI171&amp;"")&lt;&gt;"",AND(Skills!$B$9&lt;&gt;"",ISNUMBER(SEARCH(Skills!$B$9,AU171)))),1,0))</f>
        <v/>
      </c>
      <c r="BC171" s="23">
        <f>IF(AR171="","",IF(OR(TRIM(AJ171&amp;"")&lt;&gt;"",AND(Skills!$B$10&lt;&gt;"",ISNUMBER(SEARCH(Skills!$B$10,AU171)))),1,0))</f>
        <v/>
      </c>
      <c r="BD171" s="23">
        <f>IF(AR171="","",IF(OR(TRIM(AK171&amp;"")&lt;&gt;"",AND(Skills!$B$11&lt;&gt;"",ISNUMBER(SEARCH(Skills!$B$11,AU171)))),1,0))</f>
        <v/>
      </c>
      <c r="BE171" s="23">
        <f>IF(AR171="","",IF(OR(TRIM(AL171&amp;"")&lt;&gt;"",AND(Skills!$B$12&lt;&gt;"",ISNUMBER(SEARCH(Skills!$B$12,AU171)))),1,0))</f>
        <v/>
      </c>
      <c r="BF171" s="23">
        <f>IF(AR171="","",IF(OR(TRIM(AM171&amp;"")&lt;&gt;"",AND(Skills!$B$13&lt;&gt;"",ISNUMBER(SEARCH(Skills!$B$13,AU171)))),1,0))</f>
        <v/>
      </c>
      <c r="BG171" s="23">
        <f>IF(AR171="","",IF(OR(TRIM(AN171&amp;"")&lt;&gt;"",AND(Skills!$B$14&lt;&gt;"",ISNUMBER(SEARCH(Skills!$B$14,AU171)))),1,0))</f>
        <v/>
      </c>
      <c r="BH171" s="23">
        <f>IF(AR171="","",IF(OR(TRIM(AO171&amp;"")&lt;&gt;"",AND(Skills!$B$15&lt;&gt;"",ISNUMBER(SEARCH(Skills!$B$15,AU171)))),1,0))</f>
        <v/>
      </c>
      <c r="BI171" s="23">
        <f>IF(AR171="","",IF(OR(TRIM(AP171&amp;"")&lt;&gt;"",AND(Skills!$B$16&lt;&gt;"",ISNUMBER(SEARCH(Skills!$B$16,AU171)))),1,0))</f>
        <v/>
      </c>
      <c r="BJ171" s="23">
        <f>IF(AR171="","",SUMPRODUCT($AX171:$BI171,Skills!$B$20:$M$20))</f>
        <v/>
      </c>
      <c r="BK171" s="23">
        <f>IF(AR171="","",BJ171*100000+(100000-ROW()))</f>
        <v/>
      </c>
      <c r="BL171" s="31">
        <f>IF(AR171="","",IF((IF(AND(AX171=1,Skills!$B$20=1),Skills!$B$5&amp;", ","")&amp;IF(AND(AY171=1,Skills!$C$20=1),Skills!$B$6&amp;", ","")&amp;IF(AND(AZ171=1,Skills!$D$20=1),Skills!$B$7&amp;", ","")&amp;IF(AND(BA171=1,Skills!$E$20=1),Skills!$B$8&amp;", ","")&amp;IF(AND(BB171=1,Skills!$F$20=1),Skills!$B$9&amp;", ","")&amp;IF(AND(BC171=1,Skills!$G$20=1),Skills!$B$10&amp;", ","")&amp;IF(AND(BD171=1,Skills!$H$20=1),Skills!$B$11&amp;", ","")&amp;IF(AND(BE171=1,Skills!$I$20=1),Skills!$B$12&amp;", ","")&amp;IF(AND(BF171=1,Skills!$J$20=1),Skills!$B$13&amp;", ","")&amp;IF(AND(BG171=1,Skills!$K$20=1),Skills!$B$14&amp;", ","")&amp;IF(AND(BH171=1,Skills!$L$20=1),Skills!$B$15&amp;", ","")&amp;IF(AND(BI171=1,Skills!$M$20=1),Skills!$B$16&amp;", ",""))="","",LEFT(IF(AND(AX171=1,Skills!$B$20=1),Skills!$B$5&amp;", ","")&amp;IF(AND(AY171=1,Skills!$C$20=1),Skills!$B$6&amp;", ","")&amp;IF(AND(AZ171=1,Skills!$D$20=1),Skills!$B$7&amp;", ","")&amp;IF(AND(BA171=1,Skills!$E$20=1),Skills!$B$8&amp;", ","")&amp;IF(AND(BB171=1,Skills!$F$20=1),Skills!$B$9&amp;", ","")&amp;IF(AND(BC171=1,Skills!$G$20=1),Skills!$B$10&amp;", ","")&amp;IF(AND(BD171=1,Skills!$H$20=1),Skills!$B$11&amp;", ","")&amp;IF(AND(BE171=1,Skills!$I$20=1),Skills!$B$12&amp;", ","")&amp;IF(AND(BF171=1,Skills!$J$20=1),Skills!$B$13&amp;", ","")&amp;IF(AND(BG171=1,Skills!$K$20=1),Skills!$B$14&amp;", ","")&amp;IF(AND(BH171=1,Skills!$L$20=1),Skills!$B$15&amp;", ","")&amp;IF(AND(BI171=1,Skills!$M$20=1),Skills!$B$16&amp;", ",""),LEN(IF(AND(AX171=1,Skills!$B$20=1),Skills!$B$5&amp;", ","")&amp;IF(AND(AY171=1,Skills!$C$20=1),Skills!$B$6&amp;", ","")&amp;IF(AND(AZ171=1,Skills!$D$20=1),Skills!$B$7&amp;", ","")&amp;IF(AND(BA171=1,Skills!$E$20=1),Skills!$B$8&amp;", ","")&amp;IF(AND(BB171=1,Skills!$F$20=1),Skills!$B$9&amp;", ","")&amp;IF(AND(BC171=1,Skills!$G$20=1),Skills!$B$10&amp;", ","")&amp;IF(AND(BD171=1,Skills!$H$20=1),Skills!$B$11&amp;", ","")&amp;IF(AND(BE171=1,Skills!$I$20=1),Skills!$B$12&amp;", ","")&amp;IF(AND(BF171=1,Skills!$J$20=1),Skills!$B$13&amp;", ","")&amp;IF(AND(BG171=1,Skills!$K$20=1),Skills!$B$14&amp;", ","")&amp;IF(AND(BH171=1,Skills!$L$20=1),Skills!$B$15&amp;", ","")&amp;IF(AND(BI171=1,Skills!$M$20=1),Skills!$B$16&amp;", ",""))-2)))</f>
        <v/>
      </c>
    </row>
    <row r="172">
      <c r="AD172" s="20" t="n"/>
      <c r="AE172" s="20" t="n"/>
      <c r="AF172" s="20" t="n"/>
      <c r="AG172" s="20" t="n"/>
      <c r="AH172" s="20" t="n"/>
      <c r="AI172" s="20" t="n"/>
      <c r="AJ172" s="20" t="n"/>
      <c r="AK172" s="20" t="n"/>
      <c r="AL172" s="20" t="n"/>
      <c r="AM172" s="20" t="n"/>
      <c r="AN172" s="20" t="n"/>
      <c r="AO172" s="20" t="n"/>
      <c r="AP172" s="20" t="n"/>
      <c r="AR172" s="31">
        <f>IF(IFERROR(TRIM(INDEX($A172:$AB172,MATCH(Lists!$B$5,$A$1:$AB$1,0))&amp;""),"")&lt;&gt;"",IFERROR(TRIM(INDEX($A172:$AB172,MATCH(Lists!$B$5,$A$1:$AB$1,0))&amp;""),""),IFERROR(TRIM(INDEX($A172:$AB172,MATCH(Lists!$B$3,$A$1:$AB$1,0))&amp;""),""))</f>
        <v/>
      </c>
      <c r="AS172" s="31">
        <f>IF(AR172="","",IF(IFERROR(TRIM(INDEX($A172:$AB172,MATCH(Lists!$B$5,$A$1:$AB$1,0))&amp;""),"")&lt;&gt;"","Nominated","Applied"))</f>
        <v/>
      </c>
      <c r="AT172" s="31">
        <f>IF(AR172="","",IF(IFERROR(TRIM(INDEX($A172:$AB172,MATCH(Lists!$B$5,$A$1:$AB$1,0))&amp;""),"")&lt;&gt;"",IFERROR(TRIM(INDEX($A172:$AB172,MATCH(Lists!$B$6,$A$1:$AB$1,0))&amp;""),""),IFERROR(TRIM(INDEX($A172:$AB172,MATCH(Lists!$B$4,$A$1:$AB$1,0))&amp;""),"")))</f>
        <v/>
      </c>
      <c r="AU172" s="31">
        <f>IF(AR172="","",IFERROR(TRIM(INDEX($A172:$AB172,MATCH(Lists!$B$7,$A$1:$AB$1,0))&amp;""),""))</f>
        <v/>
      </c>
      <c r="AV172" s="31">
        <f>IF(AR172="","",IFERROR(TRIM(INDEX($A172:$AB172,MATCH(Lists!$B$9,$A$1:$AB$1,0))&amp;""),""))</f>
        <v/>
      </c>
      <c r="AW172" s="31">
        <f>IF(AR172="","",IFERROR(TRIM(INDEX($A172:$AB172,MATCH(Lists!$B$8,$A$1:$AB$1,0))&amp;""),""))</f>
        <v/>
      </c>
      <c r="AX172" s="23">
        <f>IF(AR172="","",IF(OR(TRIM(AE172&amp;"")&lt;&gt;"",AND(Skills!$B$5&lt;&gt;"",ISNUMBER(SEARCH(Skills!$B$5,AU172)))),1,0))</f>
        <v/>
      </c>
      <c r="AY172" s="23">
        <f>IF(AR172="","",IF(OR(TRIM(AF172&amp;"")&lt;&gt;"",AND(Skills!$B$6&lt;&gt;"",ISNUMBER(SEARCH(Skills!$B$6,AU172)))),1,0))</f>
        <v/>
      </c>
      <c r="AZ172" s="23">
        <f>IF(AR172="","",IF(OR(TRIM(AG172&amp;"")&lt;&gt;"",AND(Skills!$B$7&lt;&gt;"",ISNUMBER(SEARCH(Skills!$B$7,AU172)))),1,0))</f>
        <v/>
      </c>
      <c r="BA172" s="23">
        <f>IF(AR172="","",IF(OR(TRIM(AH172&amp;"")&lt;&gt;"",AND(Skills!$B$8&lt;&gt;"",ISNUMBER(SEARCH(Skills!$B$8,AU172)))),1,0))</f>
        <v/>
      </c>
      <c r="BB172" s="23">
        <f>IF(AR172="","",IF(OR(TRIM(AI172&amp;"")&lt;&gt;"",AND(Skills!$B$9&lt;&gt;"",ISNUMBER(SEARCH(Skills!$B$9,AU172)))),1,0))</f>
        <v/>
      </c>
      <c r="BC172" s="23">
        <f>IF(AR172="","",IF(OR(TRIM(AJ172&amp;"")&lt;&gt;"",AND(Skills!$B$10&lt;&gt;"",ISNUMBER(SEARCH(Skills!$B$10,AU172)))),1,0))</f>
        <v/>
      </c>
      <c r="BD172" s="23">
        <f>IF(AR172="","",IF(OR(TRIM(AK172&amp;"")&lt;&gt;"",AND(Skills!$B$11&lt;&gt;"",ISNUMBER(SEARCH(Skills!$B$11,AU172)))),1,0))</f>
        <v/>
      </c>
      <c r="BE172" s="23">
        <f>IF(AR172="","",IF(OR(TRIM(AL172&amp;"")&lt;&gt;"",AND(Skills!$B$12&lt;&gt;"",ISNUMBER(SEARCH(Skills!$B$12,AU172)))),1,0))</f>
        <v/>
      </c>
      <c r="BF172" s="23">
        <f>IF(AR172="","",IF(OR(TRIM(AM172&amp;"")&lt;&gt;"",AND(Skills!$B$13&lt;&gt;"",ISNUMBER(SEARCH(Skills!$B$13,AU172)))),1,0))</f>
        <v/>
      </c>
      <c r="BG172" s="23">
        <f>IF(AR172="","",IF(OR(TRIM(AN172&amp;"")&lt;&gt;"",AND(Skills!$B$14&lt;&gt;"",ISNUMBER(SEARCH(Skills!$B$14,AU172)))),1,0))</f>
        <v/>
      </c>
      <c r="BH172" s="23">
        <f>IF(AR172="","",IF(OR(TRIM(AO172&amp;"")&lt;&gt;"",AND(Skills!$B$15&lt;&gt;"",ISNUMBER(SEARCH(Skills!$B$15,AU172)))),1,0))</f>
        <v/>
      </c>
      <c r="BI172" s="23">
        <f>IF(AR172="","",IF(OR(TRIM(AP172&amp;"")&lt;&gt;"",AND(Skills!$B$16&lt;&gt;"",ISNUMBER(SEARCH(Skills!$B$16,AU172)))),1,0))</f>
        <v/>
      </c>
      <c r="BJ172" s="23">
        <f>IF(AR172="","",SUMPRODUCT($AX172:$BI172,Skills!$B$20:$M$20))</f>
        <v/>
      </c>
      <c r="BK172" s="23">
        <f>IF(AR172="","",BJ172*100000+(100000-ROW()))</f>
        <v/>
      </c>
      <c r="BL172" s="31">
        <f>IF(AR172="","",IF((IF(AND(AX172=1,Skills!$B$20=1),Skills!$B$5&amp;", ","")&amp;IF(AND(AY172=1,Skills!$C$20=1),Skills!$B$6&amp;", ","")&amp;IF(AND(AZ172=1,Skills!$D$20=1),Skills!$B$7&amp;", ","")&amp;IF(AND(BA172=1,Skills!$E$20=1),Skills!$B$8&amp;", ","")&amp;IF(AND(BB172=1,Skills!$F$20=1),Skills!$B$9&amp;", ","")&amp;IF(AND(BC172=1,Skills!$G$20=1),Skills!$B$10&amp;", ","")&amp;IF(AND(BD172=1,Skills!$H$20=1),Skills!$B$11&amp;", ","")&amp;IF(AND(BE172=1,Skills!$I$20=1),Skills!$B$12&amp;", ","")&amp;IF(AND(BF172=1,Skills!$J$20=1),Skills!$B$13&amp;", ","")&amp;IF(AND(BG172=1,Skills!$K$20=1),Skills!$B$14&amp;", ","")&amp;IF(AND(BH172=1,Skills!$L$20=1),Skills!$B$15&amp;", ","")&amp;IF(AND(BI172=1,Skills!$M$20=1),Skills!$B$16&amp;", ",""))="","",LEFT(IF(AND(AX172=1,Skills!$B$20=1),Skills!$B$5&amp;", ","")&amp;IF(AND(AY172=1,Skills!$C$20=1),Skills!$B$6&amp;", ","")&amp;IF(AND(AZ172=1,Skills!$D$20=1),Skills!$B$7&amp;", ","")&amp;IF(AND(BA172=1,Skills!$E$20=1),Skills!$B$8&amp;", ","")&amp;IF(AND(BB172=1,Skills!$F$20=1),Skills!$B$9&amp;", ","")&amp;IF(AND(BC172=1,Skills!$G$20=1),Skills!$B$10&amp;", ","")&amp;IF(AND(BD172=1,Skills!$H$20=1),Skills!$B$11&amp;", ","")&amp;IF(AND(BE172=1,Skills!$I$20=1),Skills!$B$12&amp;", ","")&amp;IF(AND(BF172=1,Skills!$J$20=1),Skills!$B$13&amp;", ","")&amp;IF(AND(BG172=1,Skills!$K$20=1),Skills!$B$14&amp;", ","")&amp;IF(AND(BH172=1,Skills!$L$20=1),Skills!$B$15&amp;", ","")&amp;IF(AND(BI172=1,Skills!$M$20=1),Skills!$B$16&amp;", ",""),LEN(IF(AND(AX172=1,Skills!$B$20=1),Skills!$B$5&amp;", ","")&amp;IF(AND(AY172=1,Skills!$C$20=1),Skills!$B$6&amp;", ","")&amp;IF(AND(AZ172=1,Skills!$D$20=1),Skills!$B$7&amp;", ","")&amp;IF(AND(BA172=1,Skills!$E$20=1),Skills!$B$8&amp;", ","")&amp;IF(AND(BB172=1,Skills!$F$20=1),Skills!$B$9&amp;", ","")&amp;IF(AND(BC172=1,Skills!$G$20=1),Skills!$B$10&amp;", ","")&amp;IF(AND(BD172=1,Skills!$H$20=1),Skills!$B$11&amp;", ","")&amp;IF(AND(BE172=1,Skills!$I$20=1),Skills!$B$12&amp;", ","")&amp;IF(AND(BF172=1,Skills!$J$20=1),Skills!$B$13&amp;", ","")&amp;IF(AND(BG172=1,Skills!$K$20=1),Skills!$B$14&amp;", ","")&amp;IF(AND(BH172=1,Skills!$L$20=1),Skills!$B$15&amp;", ","")&amp;IF(AND(BI172=1,Skills!$M$20=1),Skills!$B$16&amp;", ",""))-2)))</f>
        <v/>
      </c>
    </row>
    <row r="173">
      <c r="AD173" s="20" t="n"/>
      <c r="AE173" s="20" t="n"/>
      <c r="AF173" s="20" t="n"/>
      <c r="AG173" s="20" t="n"/>
      <c r="AH173" s="20" t="n"/>
      <c r="AI173" s="20" t="n"/>
      <c r="AJ173" s="20" t="n"/>
      <c r="AK173" s="20" t="n"/>
      <c r="AL173" s="20" t="n"/>
      <c r="AM173" s="20" t="n"/>
      <c r="AN173" s="20" t="n"/>
      <c r="AO173" s="20" t="n"/>
      <c r="AP173" s="20" t="n"/>
      <c r="AR173" s="31">
        <f>IF(IFERROR(TRIM(INDEX($A173:$AB173,MATCH(Lists!$B$5,$A$1:$AB$1,0))&amp;""),"")&lt;&gt;"",IFERROR(TRIM(INDEX($A173:$AB173,MATCH(Lists!$B$5,$A$1:$AB$1,0))&amp;""),""),IFERROR(TRIM(INDEX($A173:$AB173,MATCH(Lists!$B$3,$A$1:$AB$1,0))&amp;""),""))</f>
        <v/>
      </c>
      <c r="AS173" s="31">
        <f>IF(AR173="","",IF(IFERROR(TRIM(INDEX($A173:$AB173,MATCH(Lists!$B$5,$A$1:$AB$1,0))&amp;""),"")&lt;&gt;"","Nominated","Applied"))</f>
        <v/>
      </c>
      <c r="AT173" s="31">
        <f>IF(AR173="","",IF(IFERROR(TRIM(INDEX($A173:$AB173,MATCH(Lists!$B$5,$A$1:$AB$1,0))&amp;""),"")&lt;&gt;"",IFERROR(TRIM(INDEX($A173:$AB173,MATCH(Lists!$B$6,$A$1:$AB$1,0))&amp;""),""),IFERROR(TRIM(INDEX($A173:$AB173,MATCH(Lists!$B$4,$A$1:$AB$1,0))&amp;""),"")))</f>
        <v/>
      </c>
      <c r="AU173" s="31">
        <f>IF(AR173="","",IFERROR(TRIM(INDEX($A173:$AB173,MATCH(Lists!$B$7,$A$1:$AB$1,0))&amp;""),""))</f>
        <v/>
      </c>
      <c r="AV173" s="31">
        <f>IF(AR173="","",IFERROR(TRIM(INDEX($A173:$AB173,MATCH(Lists!$B$9,$A$1:$AB$1,0))&amp;""),""))</f>
        <v/>
      </c>
      <c r="AW173" s="31">
        <f>IF(AR173="","",IFERROR(TRIM(INDEX($A173:$AB173,MATCH(Lists!$B$8,$A$1:$AB$1,0))&amp;""),""))</f>
        <v/>
      </c>
      <c r="AX173" s="23">
        <f>IF(AR173="","",IF(OR(TRIM(AE173&amp;"")&lt;&gt;"",AND(Skills!$B$5&lt;&gt;"",ISNUMBER(SEARCH(Skills!$B$5,AU173)))),1,0))</f>
        <v/>
      </c>
      <c r="AY173" s="23">
        <f>IF(AR173="","",IF(OR(TRIM(AF173&amp;"")&lt;&gt;"",AND(Skills!$B$6&lt;&gt;"",ISNUMBER(SEARCH(Skills!$B$6,AU173)))),1,0))</f>
        <v/>
      </c>
      <c r="AZ173" s="23">
        <f>IF(AR173="","",IF(OR(TRIM(AG173&amp;"")&lt;&gt;"",AND(Skills!$B$7&lt;&gt;"",ISNUMBER(SEARCH(Skills!$B$7,AU173)))),1,0))</f>
        <v/>
      </c>
      <c r="BA173" s="23">
        <f>IF(AR173="","",IF(OR(TRIM(AH173&amp;"")&lt;&gt;"",AND(Skills!$B$8&lt;&gt;"",ISNUMBER(SEARCH(Skills!$B$8,AU173)))),1,0))</f>
        <v/>
      </c>
      <c r="BB173" s="23">
        <f>IF(AR173="","",IF(OR(TRIM(AI173&amp;"")&lt;&gt;"",AND(Skills!$B$9&lt;&gt;"",ISNUMBER(SEARCH(Skills!$B$9,AU173)))),1,0))</f>
        <v/>
      </c>
      <c r="BC173" s="23">
        <f>IF(AR173="","",IF(OR(TRIM(AJ173&amp;"")&lt;&gt;"",AND(Skills!$B$10&lt;&gt;"",ISNUMBER(SEARCH(Skills!$B$10,AU173)))),1,0))</f>
        <v/>
      </c>
      <c r="BD173" s="23">
        <f>IF(AR173="","",IF(OR(TRIM(AK173&amp;"")&lt;&gt;"",AND(Skills!$B$11&lt;&gt;"",ISNUMBER(SEARCH(Skills!$B$11,AU173)))),1,0))</f>
        <v/>
      </c>
      <c r="BE173" s="23">
        <f>IF(AR173="","",IF(OR(TRIM(AL173&amp;"")&lt;&gt;"",AND(Skills!$B$12&lt;&gt;"",ISNUMBER(SEARCH(Skills!$B$12,AU173)))),1,0))</f>
        <v/>
      </c>
      <c r="BF173" s="23">
        <f>IF(AR173="","",IF(OR(TRIM(AM173&amp;"")&lt;&gt;"",AND(Skills!$B$13&lt;&gt;"",ISNUMBER(SEARCH(Skills!$B$13,AU173)))),1,0))</f>
        <v/>
      </c>
      <c r="BG173" s="23">
        <f>IF(AR173="","",IF(OR(TRIM(AN173&amp;"")&lt;&gt;"",AND(Skills!$B$14&lt;&gt;"",ISNUMBER(SEARCH(Skills!$B$14,AU173)))),1,0))</f>
        <v/>
      </c>
      <c r="BH173" s="23">
        <f>IF(AR173="","",IF(OR(TRIM(AO173&amp;"")&lt;&gt;"",AND(Skills!$B$15&lt;&gt;"",ISNUMBER(SEARCH(Skills!$B$15,AU173)))),1,0))</f>
        <v/>
      </c>
      <c r="BI173" s="23">
        <f>IF(AR173="","",IF(OR(TRIM(AP173&amp;"")&lt;&gt;"",AND(Skills!$B$16&lt;&gt;"",ISNUMBER(SEARCH(Skills!$B$16,AU173)))),1,0))</f>
        <v/>
      </c>
      <c r="BJ173" s="23">
        <f>IF(AR173="","",SUMPRODUCT($AX173:$BI173,Skills!$B$20:$M$20))</f>
        <v/>
      </c>
      <c r="BK173" s="23">
        <f>IF(AR173="","",BJ173*100000+(100000-ROW()))</f>
        <v/>
      </c>
      <c r="BL173" s="31">
        <f>IF(AR173="","",IF((IF(AND(AX173=1,Skills!$B$20=1),Skills!$B$5&amp;", ","")&amp;IF(AND(AY173=1,Skills!$C$20=1),Skills!$B$6&amp;", ","")&amp;IF(AND(AZ173=1,Skills!$D$20=1),Skills!$B$7&amp;", ","")&amp;IF(AND(BA173=1,Skills!$E$20=1),Skills!$B$8&amp;", ","")&amp;IF(AND(BB173=1,Skills!$F$20=1),Skills!$B$9&amp;", ","")&amp;IF(AND(BC173=1,Skills!$G$20=1),Skills!$B$10&amp;", ","")&amp;IF(AND(BD173=1,Skills!$H$20=1),Skills!$B$11&amp;", ","")&amp;IF(AND(BE173=1,Skills!$I$20=1),Skills!$B$12&amp;", ","")&amp;IF(AND(BF173=1,Skills!$J$20=1),Skills!$B$13&amp;", ","")&amp;IF(AND(BG173=1,Skills!$K$20=1),Skills!$B$14&amp;", ","")&amp;IF(AND(BH173=1,Skills!$L$20=1),Skills!$B$15&amp;", ","")&amp;IF(AND(BI173=1,Skills!$M$20=1),Skills!$B$16&amp;", ",""))="","",LEFT(IF(AND(AX173=1,Skills!$B$20=1),Skills!$B$5&amp;", ","")&amp;IF(AND(AY173=1,Skills!$C$20=1),Skills!$B$6&amp;", ","")&amp;IF(AND(AZ173=1,Skills!$D$20=1),Skills!$B$7&amp;", ","")&amp;IF(AND(BA173=1,Skills!$E$20=1),Skills!$B$8&amp;", ","")&amp;IF(AND(BB173=1,Skills!$F$20=1),Skills!$B$9&amp;", ","")&amp;IF(AND(BC173=1,Skills!$G$20=1),Skills!$B$10&amp;", ","")&amp;IF(AND(BD173=1,Skills!$H$20=1),Skills!$B$11&amp;", ","")&amp;IF(AND(BE173=1,Skills!$I$20=1),Skills!$B$12&amp;", ","")&amp;IF(AND(BF173=1,Skills!$J$20=1),Skills!$B$13&amp;", ","")&amp;IF(AND(BG173=1,Skills!$K$20=1),Skills!$B$14&amp;", ","")&amp;IF(AND(BH173=1,Skills!$L$20=1),Skills!$B$15&amp;", ","")&amp;IF(AND(BI173=1,Skills!$M$20=1),Skills!$B$16&amp;", ",""),LEN(IF(AND(AX173=1,Skills!$B$20=1),Skills!$B$5&amp;", ","")&amp;IF(AND(AY173=1,Skills!$C$20=1),Skills!$B$6&amp;", ","")&amp;IF(AND(AZ173=1,Skills!$D$20=1),Skills!$B$7&amp;", ","")&amp;IF(AND(BA173=1,Skills!$E$20=1),Skills!$B$8&amp;", ","")&amp;IF(AND(BB173=1,Skills!$F$20=1),Skills!$B$9&amp;", ","")&amp;IF(AND(BC173=1,Skills!$G$20=1),Skills!$B$10&amp;", ","")&amp;IF(AND(BD173=1,Skills!$H$20=1),Skills!$B$11&amp;", ","")&amp;IF(AND(BE173=1,Skills!$I$20=1),Skills!$B$12&amp;", ","")&amp;IF(AND(BF173=1,Skills!$J$20=1),Skills!$B$13&amp;", ","")&amp;IF(AND(BG173=1,Skills!$K$20=1),Skills!$B$14&amp;", ","")&amp;IF(AND(BH173=1,Skills!$L$20=1),Skills!$B$15&amp;", ","")&amp;IF(AND(BI173=1,Skills!$M$20=1),Skills!$B$16&amp;", ",""))-2)))</f>
        <v/>
      </c>
    </row>
    <row r="174">
      <c r="AD174" s="20" t="n"/>
      <c r="AE174" s="20" t="n"/>
      <c r="AF174" s="20" t="n"/>
      <c r="AG174" s="20" t="n"/>
      <c r="AH174" s="20" t="n"/>
      <c r="AI174" s="20" t="n"/>
      <c r="AJ174" s="20" t="n"/>
      <c r="AK174" s="20" t="n"/>
      <c r="AL174" s="20" t="n"/>
      <c r="AM174" s="20" t="n"/>
      <c r="AN174" s="20" t="n"/>
      <c r="AO174" s="20" t="n"/>
      <c r="AP174" s="20" t="n"/>
      <c r="AR174" s="31">
        <f>IF(IFERROR(TRIM(INDEX($A174:$AB174,MATCH(Lists!$B$5,$A$1:$AB$1,0))&amp;""),"")&lt;&gt;"",IFERROR(TRIM(INDEX($A174:$AB174,MATCH(Lists!$B$5,$A$1:$AB$1,0))&amp;""),""),IFERROR(TRIM(INDEX($A174:$AB174,MATCH(Lists!$B$3,$A$1:$AB$1,0))&amp;""),""))</f>
        <v/>
      </c>
      <c r="AS174" s="31">
        <f>IF(AR174="","",IF(IFERROR(TRIM(INDEX($A174:$AB174,MATCH(Lists!$B$5,$A$1:$AB$1,0))&amp;""),"")&lt;&gt;"","Nominated","Applied"))</f>
        <v/>
      </c>
      <c r="AT174" s="31">
        <f>IF(AR174="","",IF(IFERROR(TRIM(INDEX($A174:$AB174,MATCH(Lists!$B$5,$A$1:$AB$1,0))&amp;""),"")&lt;&gt;"",IFERROR(TRIM(INDEX($A174:$AB174,MATCH(Lists!$B$6,$A$1:$AB$1,0))&amp;""),""),IFERROR(TRIM(INDEX($A174:$AB174,MATCH(Lists!$B$4,$A$1:$AB$1,0))&amp;""),"")))</f>
        <v/>
      </c>
      <c r="AU174" s="31">
        <f>IF(AR174="","",IFERROR(TRIM(INDEX($A174:$AB174,MATCH(Lists!$B$7,$A$1:$AB$1,0))&amp;""),""))</f>
        <v/>
      </c>
      <c r="AV174" s="31">
        <f>IF(AR174="","",IFERROR(TRIM(INDEX($A174:$AB174,MATCH(Lists!$B$9,$A$1:$AB$1,0))&amp;""),""))</f>
        <v/>
      </c>
      <c r="AW174" s="31">
        <f>IF(AR174="","",IFERROR(TRIM(INDEX($A174:$AB174,MATCH(Lists!$B$8,$A$1:$AB$1,0))&amp;""),""))</f>
        <v/>
      </c>
      <c r="AX174" s="23">
        <f>IF(AR174="","",IF(OR(TRIM(AE174&amp;"")&lt;&gt;"",AND(Skills!$B$5&lt;&gt;"",ISNUMBER(SEARCH(Skills!$B$5,AU174)))),1,0))</f>
        <v/>
      </c>
      <c r="AY174" s="23">
        <f>IF(AR174="","",IF(OR(TRIM(AF174&amp;"")&lt;&gt;"",AND(Skills!$B$6&lt;&gt;"",ISNUMBER(SEARCH(Skills!$B$6,AU174)))),1,0))</f>
        <v/>
      </c>
      <c r="AZ174" s="23">
        <f>IF(AR174="","",IF(OR(TRIM(AG174&amp;"")&lt;&gt;"",AND(Skills!$B$7&lt;&gt;"",ISNUMBER(SEARCH(Skills!$B$7,AU174)))),1,0))</f>
        <v/>
      </c>
      <c r="BA174" s="23">
        <f>IF(AR174="","",IF(OR(TRIM(AH174&amp;"")&lt;&gt;"",AND(Skills!$B$8&lt;&gt;"",ISNUMBER(SEARCH(Skills!$B$8,AU174)))),1,0))</f>
        <v/>
      </c>
      <c r="BB174" s="23">
        <f>IF(AR174="","",IF(OR(TRIM(AI174&amp;"")&lt;&gt;"",AND(Skills!$B$9&lt;&gt;"",ISNUMBER(SEARCH(Skills!$B$9,AU174)))),1,0))</f>
        <v/>
      </c>
      <c r="BC174" s="23">
        <f>IF(AR174="","",IF(OR(TRIM(AJ174&amp;"")&lt;&gt;"",AND(Skills!$B$10&lt;&gt;"",ISNUMBER(SEARCH(Skills!$B$10,AU174)))),1,0))</f>
        <v/>
      </c>
      <c r="BD174" s="23">
        <f>IF(AR174="","",IF(OR(TRIM(AK174&amp;"")&lt;&gt;"",AND(Skills!$B$11&lt;&gt;"",ISNUMBER(SEARCH(Skills!$B$11,AU174)))),1,0))</f>
        <v/>
      </c>
      <c r="BE174" s="23">
        <f>IF(AR174="","",IF(OR(TRIM(AL174&amp;"")&lt;&gt;"",AND(Skills!$B$12&lt;&gt;"",ISNUMBER(SEARCH(Skills!$B$12,AU174)))),1,0))</f>
        <v/>
      </c>
      <c r="BF174" s="23">
        <f>IF(AR174="","",IF(OR(TRIM(AM174&amp;"")&lt;&gt;"",AND(Skills!$B$13&lt;&gt;"",ISNUMBER(SEARCH(Skills!$B$13,AU174)))),1,0))</f>
        <v/>
      </c>
      <c r="BG174" s="23">
        <f>IF(AR174="","",IF(OR(TRIM(AN174&amp;"")&lt;&gt;"",AND(Skills!$B$14&lt;&gt;"",ISNUMBER(SEARCH(Skills!$B$14,AU174)))),1,0))</f>
        <v/>
      </c>
      <c r="BH174" s="23">
        <f>IF(AR174="","",IF(OR(TRIM(AO174&amp;"")&lt;&gt;"",AND(Skills!$B$15&lt;&gt;"",ISNUMBER(SEARCH(Skills!$B$15,AU174)))),1,0))</f>
        <v/>
      </c>
      <c r="BI174" s="23">
        <f>IF(AR174="","",IF(OR(TRIM(AP174&amp;"")&lt;&gt;"",AND(Skills!$B$16&lt;&gt;"",ISNUMBER(SEARCH(Skills!$B$16,AU174)))),1,0))</f>
        <v/>
      </c>
      <c r="BJ174" s="23">
        <f>IF(AR174="","",SUMPRODUCT($AX174:$BI174,Skills!$B$20:$M$20))</f>
        <v/>
      </c>
      <c r="BK174" s="23">
        <f>IF(AR174="","",BJ174*100000+(100000-ROW()))</f>
        <v/>
      </c>
      <c r="BL174" s="31">
        <f>IF(AR174="","",IF((IF(AND(AX174=1,Skills!$B$20=1),Skills!$B$5&amp;", ","")&amp;IF(AND(AY174=1,Skills!$C$20=1),Skills!$B$6&amp;", ","")&amp;IF(AND(AZ174=1,Skills!$D$20=1),Skills!$B$7&amp;", ","")&amp;IF(AND(BA174=1,Skills!$E$20=1),Skills!$B$8&amp;", ","")&amp;IF(AND(BB174=1,Skills!$F$20=1),Skills!$B$9&amp;", ","")&amp;IF(AND(BC174=1,Skills!$G$20=1),Skills!$B$10&amp;", ","")&amp;IF(AND(BD174=1,Skills!$H$20=1),Skills!$B$11&amp;", ","")&amp;IF(AND(BE174=1,Skills!$I$20=1),Skills!$B$12&amp;", ","")&amp;IF(AND(BF174=1,Skills!$J$20=1),Skills!$B$13&amp;", ","")&amp;IF(AND(BG174=1,Skills!$K$20=1),Skills!$B$14&amp;", ","")&amp;IF(AND(BH174=1,Skills!$L$20=1),Skills!$B$15&amp;", ","")&amp;IF(AND(BI174=1,Skills!$M$20=1),Skills!$B$16&amp;", ",""))="","",LEFT(IF(AND(AX174=1,Skills!$B$20=1),Skills!$B$5&amp;", ","")&amp;IF(AND(AY174=1,Skills!$C$20=1),Skills!$B$6&amp;", ","")&amp;IF(AND(AZ174=1,Skills!$D$20=1),Skills!$B$7&amp;", ","")&amp;IF(AND(BA174=1,Skills!$E$20=1),Skills!$B$8&amp;", ","")&amp;IF(AND(BB174=1,Skills!$F$20=1),Skills!$B$9&amp;", ","")&amp;IF(AND(BC174=1,Skills!$G$20=1),Skills!$B$10&amp;", ","")&amp;IF(AND(BD174=1,Skills!$H$20=1),Skills!$B$11&amp;", ","")&amp;IF(AND(BE174=1,Skills!$I$20=1),Skills!$B$12&amp;", ","")&amp;IF(AND(BF174=1,Skills!$J$20=1),Skills!$B$13&amp;", ","")&amp;IF(AND(BG174=1,Skills!$K$20=1),Skills!$B$14&amp;", ","")&amp;IF(AND(BH174=1,Skills!$L$20=1),Skills!$B$15&amp;", ","")&amp;IF(AND(BI174=1,Skills!$M$20=1),Skills!$B$16&amp;", ",""),LEN(IF(AND(AX174=1,Skills!$B$20=1),Skills!$B$5&amp;", ","")&amp;IF(AND(AY174=1,Skills!$C$20=1),Skills!$B$6&amp;", ","")&amp;IF(AND(AZ174=1,Skills!$D$20=1),Skills!$B$7&amp;", ","")&amp;IF(AND(BA174=1,Skills!$E$20=1),Skills!$B$8&amp;", ","")&amp;IF(AND(BB174=1,Skills!$F$20=1),Skills!$B$9&amp;", ","")&amp;IF(AND(BC174=1,Skills!$G$20=1),Skills!$B$10&amp;", ","")&amp;IF(AND(BD174=1,Skills!$H$20=1),Skills!$B$11&amp;", ","")&amp;IF(AND(BE174=1,Skills!$I$20=1),Skills!$B$12&amp;", ","")&amp;IF(AND(BF174=1,Skills!$J$20=1),Skills!$B$13&amp;", ","")&amp;IF(AND(BG174=1,Skills!$K$20=1),Skills!$B$14&amp;", ","")&amp;IF(AND(BH174=1,Skills!$L$20=1),Skills!$B$15&amp;", ","")&amp;IF(AND(BI174=1,Skills!$M$20=1),Skills!$B$16&amp;", ",""))-2)))</f>
        <v/>
      </c>
    </row>
    <row r="175">
      <c r="AD175" s="20" t="n"/>
      <c r="AE175" s="20" t="n"/>
      <c r="AF175" s="20" t="n"/>
      <c r="AG175" s="20" t="n"/>
      <c r="AH175" s="20" t="n"/>
      <c r="AI175" s="20" t="n"/>
      <c r="AJ175" s="20" t="n"/>
      <c r="AK175" s="20" t="n"/>
      <c r="AL175" s="20" t="n"/>
      <c r="AM175" s="20" t="n"/>
      <c r="AN175" s="20" t="n"/>
      <c r="AO175" s="20" t="n"/>
      <c r="AP175" s="20" t="n"/>
      <c r="AR175" s="31">
        <f>IF(IFERROR(TRIM(INDEX($A175:$AB175,MATCH(Lists!$B$5,$A$1:$AB$1,0))&amp;""),"")&lt;&gt;"",IFERROR(TRIM(INDEX($A175:$AB175,MATCH(Lists!$B$5,$A$1:$AB$1,0))&amp;""),""),IFERROR(TRIM(INDEX($A175:$AB175,MATCH(Lists!$B$3,$A$1:$AB$1,0))&amp;""),""))</f>
        <v/>
      </c>
      <c r="AS175" s="31">
        <f>IF(AR175="","",IF(IFERROR(TRIM(INDEX($A175:$AB175,MATCH(Lists!$B$5,$A$1:$AB$1,0))&amp;""),"")&lt;&gt;"","Nominated","Applied"))</f>
        <v/>
      </c>
      <c r="AT175" s="31">
        <f>IF(AR175="","",IF(IFERROR(TRIM(INDEX($A175:$AB175,MATCH(Lists!$B$5,$A$1:$AB$1,0))&amp;""),"")&lt;&gt;"",IFERROR(TRIM(INDEX($A175:$AB175,MATCH(Lists!$B$6,$A$1:$AB$1,0))&amp;""),""),IFERROR(TRIM(INDEX($A175:$AB175,MATCH(Lists!$B$4,$A$1:$AB$1,0))&amp;""),"")))</f>
        <v/>
      </c>
      <c r="AU175" s="31">
        <f>IF(AR175="","",IFERROR(TRIM(INDEX($A175:$AB175,MATCH(Lists!$B$7,$A$1:$AB$1,0))&amp;""),""))</f>
        <v/>
      </c>
      <c r="AV175" s="31">
        <f>IF(AR175="","",IFERROR(TRIM(INDEX($A175:$AB175,MATCH(Lists!$B$9,$A$1:$AB$1,0))&amp;""),""))</f>
        <v/>
      </c>
      <c r="AW175" s="31">
        <f>IF(AR175="","",IFERROR(TRIM(INDEX($A175:$AB175,MATCH(Lists!$B$8,$A$1:$AB$1,0))&amp;""),""))</f>
        <v/>
      </c>
      <c r="AX175" s="23">
        <f>IF(AR175="","",IF(OR(TRIM(AE175&amp;"")&lt;&gt;"",AND(Skills!$B$5&lt;&gt;"",ISNUMBER(SEARCH(Skills!$B$5,AU175)))),1,0))</f>
        <v/>
      </c>
      <c r="AY175" s="23">
        <f>IF(AR175="","",IF(OR(TRIM(AF175&amp;"")&lt;&gt;"",AND(Skills!$B$6&lt;&gt;"",ISNUMBER(SEARCH(Skills!$B$6,AU175)))),1,0))</f>
        <v/>
      </c>
      <c r="AZ175" s="23">
        <f>IF(AR175="","",IF(OR(TRIM(AG175&amp;"")&lt;&gt;"",AND(Skills!$B$7&lt;&gt;"",ISNUMBER(SEARCH(Skills!$B$7,AU175)))),1,0))</f>
        <v/>
      </c>
      <c r="BA175" s="23">
        <f>IF(AR175="","",IF(OR(TRIM(AH175&amp;"")&lt;&gt;"",AND(Skills!$B$8&lt;&gt;"",ISNUMBER(SEARCH(Skills!$B$8,AU175)))),1,0))</f>
        <v/>
      </c>
      <c r="BB175" s="23">
        <f>IF(AR175="","",IF(OR(TRIM(AI175&amp;"")&lt;&gt;"",AND(Skills!$B$9&lt;&gt;"",ISNUMBER(SEARCH(Skills!$B$9,AU175)))),1,0))</f>
        <v/>
      </c>
      <c r="BC175" s="23">
        <f>IF(AR175="","",IF(OR(TRIM(AJ175&amp;"")&lt;&gt;"",AND(Skills!$B$10&lt;&gt;"",ISNUMBER(SEARCH(Skills!$B$10,AU175)))),1,0))</f>
        <v/>
      </c>
      <c r="BD175" s="23">
        <f>IF(AR175="","",IF(OR(TRIM(AK175&amp;"")&lt;&gt;"",AND(Skills!$B$11&lt;&gt;"",ISNUMBER(SEARCH(Skills!$B$11,AU175)))),1,0))</f>
        <v/>
      </c>
      <c r="BE175" s="23">
        <f>IF(AR175="","",IF(OR(TRIM(AL175&amp;"")&lt;&gt;"",AND(Skills!$B$12&lt;&gt;"",ISNUMBER(SEARCH(Skills!$B$12,AU175)))),1,0))</f>
        <v/>
      </c>
      <c r="BF175" s="23">
        <f>IF(AR175="","",IF(OR(TRIM(AM175&amp;"")&lt;&gt;"",AND(Skills!$B$13&lt;&gt;"",ISNUMBER(SEARCH(Skills!$B$13,AU175)))),1,0))</f>
        <v/>
      </c>
      <c r="BG175" s="23">
        <f>IF(AR175="","",IF(OR(TRIM(AN175&amp;"")&lt;&gt;"",AND(Skills!$B$14&lt;&gt;"",ISNUMBER(SEARCH(Skills!$B$14,AU175)))),1,0))</f>
        <v/>
      </c>
      <c r="BH175" s="23">
        <f>IF(AR175="","",IF(OR(TRIM(AO175&amp;"")&lt;&gt;"",AND(Skills!$B$15&lt;&gt;"",ISNUMBER(SEARCH(Skills!$B$15,AU175)))),1,0))</f>
        <v/>
      </c>
      <c r="BI175" s="23">
        <f>IF(AR175="","",IF(OR(TRIM(AP175&amp;"")&lt;&gt;"",AND(Skills!$B$16&lt;&gt;"",ISNUMBER(SEARCH(Skills!$B$16,AU175)))),1,0))</f>
        <v/>
      </c>
      <c r="BJ175" s="23">
        <f>IF(AR175="","",SUMPRODUCT($AX175:$BI175,Skills!$B$20:$M$20))</f>
        <v/>
      </c>
      <c r="BK175" s="23">
        <f>IF(AR175="","",BJ175*100000+(100000-ROW()))</f>
        <v/>
      </c>
      <c r="BL175" s="31">
        <f>IF(AR175="","",IF((IF(AND(AX175=1,Skills!$B$20=1),Skills!$B$5&amp;", ","")&amp;IF(AND(AY175=1,Skills!$C$20=1),Skills!$B$6&amp;", ","")&amp;IF(AND(AZ175=1,Skills!$D$20=1),Skills!$B$7&amp;", ","")&amp;IF(AND(BA175=1,Skills!$E$20=1),Skills!$B$8&amp;", ","")&amp;IF(AND(BB175=1,Skills!$F$20=1),Skills!$B$9&amp;", ","")&amp;IF(AND(BC175=1,Skills!$G$20=1),Skills!$B$10&amp;", ","")&amp;IF(AND(BD175=1,Skills!$H$20=1),Skills!$B$11&amp;", ","")&amp;IF(AND(BE175=1,Skills!$I$20=1),Skills!$B$12&amp;", ","")&amp;IF(AND(BF175=1,Skills!$J$20=1),Skills!$B$13&amp;", ","")&amp;IF(AND(BG175=1,Skills!$K$20=1),Skills!$B$14&amp;", ","")&amp;IF(AND(BH175=1,Skills!$L$20=1),Skills!$B$15&amp;", ","")&amp;IF(AND(BI175=1,Skills!$M$20=1),Skills!$B$16&amp;", ",""))="","",LEFT(IF(AND(AX175=1,Skills!$B$20=1),Skills!$B$5&amp;", ","")&amp;IF(AND(AY175=1,Skills!$C$20=1),Skills!$B$6&amp;", ","")&amp;IF(AND(AZ175=1,Skills!$D$20=1),Skills!$B$7&amp;", ","")&amp;IF(AND(BA175=1,Skills!$E$20=1),Skills!$B$8&amp;", ","")&amp;IF(AND(BB175=1,Skills!$F$20=1),Skills!$B$9&amp;", ","")&amp;IF(AND(BC175=1,Skills!$G$20=1),Skills!$B$10&amp;", ","")&amp;IF(AND(BD175=1,Skills!$H$20=1),Skills!$B$11&amp;", ","")&amp;IF(AND(BE175=1,Skills!$I$20=1),Skills!$B$12&amp;", ","")&amp;IF(AND(BF175=1,Skills!$J$20=1),Skills!$B$13&amp;", ","")&amp;IF(AND(BG175=1,Skills!$K$20=1),Skills!$B$14&amp;", ","")&amp;IF(AND(BH175=1,Skills!$L$20=1),Skills!$B$15&amp;", ","")&amp;IF(AND(BI175=1,Skills!$M$20=1),Skills!$B$16&amp;", ",""),LEN(IF(AND(AX175=1,Skills!$B$20=1),Skills!$B$5&amp;", ","")&amp;IF(AND(AY175=1,Skills!$C$20=1),Skills!$B$6&amp;", ","")&amp;IF(AND(AZ175=1,Skills!$D$20=1),Skills!$B$7&amp;", ","")&amp;IF(AND(BA175=1,Skills!$E$20=1),Skills!$B$8&amp;", ","")&amp;IF(AND(BB175=1,Skills!$F$20=1),Skills!$B$9&amp;", ","")&amp;IF(AND(BC175=1,Skills!$G$20=1),Skills!$B$10&amp;", ","")&amp;IF(AND(BD175=1,Skills!$H$20=1),Skills!$B$11&amp;", ","")&amp;IF(AND(BE175=1,Skills!$I$20=1),Skills!$B$12&amp;", ","")&amp;IF(AND(BF175=1,Skills!$J$20=1),Skills!$B$13&amp;", ","")&amp;IF(AND(BG175=1,Skills!$K$20=1),Skills!$B$14&amp;", ","")&amp;IF(AND(BH175=1,Skills!$L$20=1),Skills!$B$15&amp;", ","")&amp;IF(AND(BI175=1,Skills!$M$20=1),Skills!$B$16&amp;", ",""))-2)))</f>
        <v/>
      </c>
    </row>
    <row r="176">
      <c r="AD176" s="20" t="n"/>
      <c r="AE176" s="20" t="n"/>
      <c r="AF176" s="20" t="n"/>
      <c r="AG176" s="20" t="n"/>
      <c r="AH176" s="20" t="n"/>
      <c r="AI176" s="20" t="n"/>
      <c r="AJ176" s="20" t="n"/>
      <c r="AK176" s="20" t="n"/>
      <c r="AL176" s="20" t="n"/>
      <c r="AM176" s="20" t="n"/>
      <c r="AN176" s="20" t="n"/>
      <c r="AO176" s="20" t="n"/>
      <c r="AP176" s="20" t="n"/>
      <c r="AR176" s="31">
        <f>IF(IFERROR(TRIM(INDEX($A176:$AB176,MATCH(Lists!$B$5,$A$1:$AB$1,0))&amp;""),"")&lt;&gt;"",IFERROR(TRIM(INDEX($A176:$AB176,MATCH(Lists!$B$5,$A$1:$AB$1,0))&amp;""),""),IFERROR(TRIM(INDEX($A176:$AB176,MATCH(Lists!$B$3,$A$1:$AB$1,0))&amp;""),""))</f>
        <v/>
      </c>
      <c r="AS176" s="31">
        <f>IF(AR176="","",IF(IFERROR(TRIM(INDEX($A176:$AB176,MATCH(Lists!$B$5,$A$1:$AB$1,0))&amp;""),"")&lt;&gt;"","Nominated","Applied"))</f>
        <v/>
      </c>
      <c r="AT176" s="31">
        <f>IF(AR176="","",IF(IFERROR(TRIM(INDEX($A176:$AB176,MATCH(Lists!$B$5,$A$1:$AB$1,0))&amp;""),"")&lt;&gt;"",IFERROR(TRIM(INDEX($A176:$AB176,MATCH(Lists!$B$6,$A$1:$AB$1,0))&amp;""),""),IFERROR(TRIM(INDEX($A176:$AB176,MATCH(Lists!$B$4,$A$1:$AB$1,0))&amp;""),"")))</f>
        <v/>
      </c>
      <c r="AU176" s="31">
        <f>IF(AR176="","",IFERROR(TRIM(INDEX($A176:$AB176,MATCH(Lists!$B$7,$A$1:$AB$1,0))&amp;""),""))</f>
        <v/>
      </c>
      <c r="AV176" s="31">
        <f>IF(AR176="","",IFERROR(TRIM(INDEX($A176:$AB176,MATCH(Lists!$B$9,$A$1:$AB$1,0))&amp;""),""))</f>
        <v/>
      </c>
      <c r="AW176" s="31">
        <f>IF(AR176="","",IFERROR(TRIM(INDEX($A176:$AB176,MATCH(Lists!$B$8,$A$1:$AB$1,0))&amp;""),""))</f>
        <v/>
      </c>
      <c r="AX176" s="23">
        <f>IF(AR176="","",IF(OR(TRIM(AE176&amp;"")&lt;&gt;"",AND(Skills!$B$5&lt;&gt;"",ISNUMBER(SEARCH(Skills!$B$5,AU176)))),1,0))</f>
        <v/>
      </c>
      <c r="AY176" s="23">
        <f>IF(AR176="","",IF(OR(TRIM(AF176&amp;"")&lt;&gt;"",AND(Skills!$B$6&lt;&gt;"",ISNUMBER(SEARCH(Skills!$B$6,AU176)))),1,0))</f>
        <v/>
      </c>
      <c r="AZ176" s="23">
        <f>IF(AR176="","",IF(OR(TRIM(AG176&amp;"")&lt;&gt;"",AND(Skills!$B$7&lt;&gt;"",ISNUMBER(SEARCH(Skills!$B$7,AU176)))),1,0))</f>
        <v/>
      </c>
      <c r="BA176" s="23">
        <f>IF(AR176="","",IF(OR(TRIM(AH176&amp;"")&lt;&gt;"",AND(Skills!$B$8&lt;&gt;"",ISNUMBER(SEARCH(Skills!$B$8,AU176)))),1,0))</f>
        <v/>
      </c>
      <c r="BB176" s="23">
        <f>IF(AR176="","",IF(OR(TRIM(AI176&amp;"")&lt;&gt;"",AND(Skills!$B$9&lt;&gt;"",ISNUMBER(SEARCH(Skills!$B$9,AU176)))),1,0))</f>
        <v/>
      </c>
      <c r="BC176" s="23">
        <f>IF(AR176="","",IF(OR(TRIM(AJ176&amp;"")&lt;&gt;"",AND(Skills!$B$10&lt;&gt;"",ISNUMBER(SEARCH(Skills!$B$10,AU176)))),1,0))</f>
        <v/>
      </c>
      <c r="BD176" s="23">
        <f>IF(AR176="","",IF(OR(TRIM(AK176&amp;"")&lt;&gt;"",AND(Skills!$B$11&lt;&gt;"",ISNUMBER(SEARCH(Skills!$B$11,AU176)))),1,0))</f>
        <v/>
      </c>
      <c r="BE176" s="23">
        <f>IF(AR176="","",IF(OR(TRIM(AL176&amp;"")&lt;&gt;"",AND(Skills!$B$12&lt;&gt;"",ISNUMBER(SEARCH(Skills!$B$12,AU176)))),1,0))</f>
        <v/>
      </c>
      <c r="BF176" s="23">
        <f>IF(AR176="","",IF(OR(TRIM(AM176&amp;"")&lt;&gt;"",AND(Skills!$B$13&lt;&gt;"",ISNUMBER(SEARCH(Skills!$B$13,AU176)))),1,0))</f>
        <v/>
      </c>
      <c r="BG176" s="23">
        <f>IF(AR176="","",IF(OR(TRIM(AN176&amp;"")&lt;&gt;"",AND(Skills!$B$14&lt;&gt;"",ISNUMBER(SEARCH(Skills!$B$14,AU176)))),1,0))</f>
        <v/>
      </c>
      <c r="BH176" s="23">
        <f>IF(AR176="","",IF(OR(TRIM(AO176&amp;"")&lt;&gt;"",AND(Skills!$B$15&lt;&gt;"",ISNUMBER(SEARCH(Skills!$B$15,AU176)))),1,0))</f>
        <v/>
      </c>
      <c r="BI176" s="23">
        <f>IF(AR176="","",IF(OR(TRIM(AP176&amp;"")&lt;&gt;"",AND(Skills!$B$16&lt;&gt;"",ISNUMBER(SEARCH(Skills!$B$16,AU176)))),1,0))</f>
        <v/>
      </c>
      <c r="BJ176" s="23">
        <f>IF(AR176="","",SUMPRODUCT($AX176:$BI176,Skills!$B$20:$M$20))</f>
        <v/>
      </c>
      <c r="BK176" s="23">
        <f>IF(AR176="","",BJ176*100000+(100000-ROW()))</f>
        <v/>
      </c>
      <c r="BL176" s="31">
        <f>IF(AR176="","",IF((IF(AND(AX176=1,Skills!$B$20=1),Skills!$B$5&amp;", ","")&amp;IF(AND(AY176=1,Skills!$C$20=1),Skills!$B$6&amp;", ","")&amp;IF(AND(AZ176=1,Skills!$D$20=1),Skills!$B$7&amp;", ","")&amp;IF(AND(BA176=1,Skills!$E$20=1),Skills!$B$8&amp;", ","")&amp;IF(AND(BB176=1,Skills!$F$20=1),Skills!$B$9&amp;", ","")&amp;IF(AND(BC176=1,Skills!$G$20=1),Skills!$B$10&amp;", ","")&amp;IF(AND(BD176=1,Skills!$H$20=1),Skills!$B$11&amp;", ","")&amp;IF(AND(BE176=1,Skills!$I$20=1),Skills!$B$12&amp;", ","")&amp;IF(AND(BF176=1,Skills!$J$20=1),Skills!$B$13&amp;", ","")&amp;IF(AND(BG176=1,Skills!$K$20=1),Skills!$B$14&amp;", ","")&amp;IF(AND(BH176=1,Skills!$L$20=1),Skills!$B$15&amp;", ","")&amp;IF(AND(BI176=1,Skills!$M$20=1),Skills!$B$16&amp;", ",""))="","",LEFT(IF(AND(AX176=1,Skills!$B$20=1),Skills!$B$5&amp;", ","")&amp;IF(AND(AY176=1,Skills!$C$20=1),Skills!$B$6&amp;", ","")&amp;IF(AND(AZ176=1,Skills!$D$20=1),Skills!$B$7&amp;", ","")&amp;IF(AND(BA176=1,Skills!$E$20=1),Skills!$B$8&amp;", ","")&amp;IF(AND(BB176=1,Skills!$F$20=1),Skills!$B$9&amp;", ","")&amp;IF(AND(BC176=1,Skills!$G$20=1),Skills!$B$10&amp;", ","")&amp;IF(AND(BD176=1,Skills!$H$20=1),Skills!$B$11&amp;", ","")&amp;IF(AND(BE176=1,Skills!$I$20=1),Skills!$B$12&amp;", ","")&amp;IF(AND(BF176=1,Skills!$J$20=1),Skills!$B$13&amp;", ","")&amp;IF(AND(BG176=1,Skills!$K$20=1),Skills!$B$14&amp;", ","")&amp;IF(AND(BH176=1,Skills!$L$20=1),Skills!$B$15&amp;", ","")&amp;IF(AND(BI176=1,Skills!$M$20=1),Skills!$B$16&amp;", ",""),LEN(IF(AND(AX176=1,Skills!$B$20=1),Skills!$B$5&amp;", ","")&amp;IF(AND(AY176=1,Skills!$C$20=1),Skills!$B$6&amp;", ","")&amp;IF(AND(AZ176=1,Skills!$D$20=1),Skills!$B$7&amp;", ","")&amp;IF(AND(BA176=1,Skills!$E$20=1),Skills!$B$8&amp;", ","")&amp;IF(AND(BB176=1,Skills!$F$20=1),Skills!$B$9&amp;", ","")&amp;IF(AND(BC176=1,Skills!$G$20=1),Skills!$B$10&amp;", ","")&amp;IF(AND(BD176=1,Skills!$H$20=1),Skills!$B$11&amp;", ","")&amp;IF(AND(BE176=1,Skills!$I$20=1),Skills!$B$12&amp;", ","")&amp;IF(AND(BF176=1,Skills!$J$20=1),Skills!$B$13&amp;", ","")&amp;IF(AND(BG176=1,Skills!$K$20=1),Skills!$B$14&amp;", ","")&amp;IF(AND(BH176=1,Skills!$L$20=1),Skills!$B$15&amp;", ","")&amp;IF(AND(BI176=1,Skills!$M$20=1),Skills!$B$16&amp;", ",""))-2)))</f>
        <v/>
      </c>
    </row>
    <row r="177">
      <c r="AD177" s="20" t="n"/>
      <c r="AE177" s="20" t="n"/>
      <c r="AF177" s="20" t="n"/>
      <c r="AG177" s="20" t="n"/>
      <c r="AH177" s="20" t="n"/>
      <c r="AI177" s="20" t="n"/>
      <c r="AJ177" s="20" t="n"/>
      <c r="AK177" s="20" t="n"/>
      <c r="AL177" s="20" t="n"/>
      <c r="AM177" s="20" t="n"/>
      <c r="AN177" s="20" t="n"/>
      <c r="AO177" s="20" t="n"/>
      <c r="AP177" s="20" t="n"/>
      <c r="AR177" s="31">
        <f>IF(IFERROR(TRIM(INDEX($A177:$AB177,MATCH(Lists!$B$5,$A$1:$AB$1,0))&amp;""),"")&lt;&gt;"",IFERROR(TRIM(INDEX($A177:$AB177,MATCH(Lists!$B$5,$A$1:$AB$1,0))&amp;""),""),IFERROR(TRIM(INDEX($A177:$AB177,MATCH(Lists!$B$3,$A$1:$AB$1,0))&amp;""),""))</f>
        <v/>
      </c>
      <c r="AS177" s="31">
        <f>IF(AR177="","",IF(IFERROR(TRIM(INDEX($A177:$AB177,MATCH(Lists!$B$5,$A$1:$AB$1,0))&amp;""),"")&lt;&gt;"","Nominated","Applied"))</f>
        <v/>
      </c>
      <c r="AT177" s="31">
        <f>IF(AR177="","",IF(IFERROR(TRIM(INDEX($A177:$AB177,MATCH(Lists!$B$5,$A$1:$AB$1,0))&amp;""),"")&lt;&gt;"",IFERROR(TRIM(INDEX($A177:$AB177,MATCH(Lists!$B$6,$A$1:$AB$1,0))&amp;""),""),IFERROR(TRIM(INDEX($A177:$AB177,MATCH(Lists!$B$4,$A$1:$AB$1,0))&amp;""),"")))</f>
        <v/>
      </c>
      <c r="AU177" s="31">
        <f>IF(AR177="","",IFERROR(TRIM(INDEX($A177:$AB177,MATCH(Lists!$B$7,$A$1:$AB$1,0))&amp;""),""))</f>
        <v/>
      </c>
      <c r="AV177" s="31">
        <f>IF(AR177="","",IFERROR(TRIM(INDEX($A177:$AB177,MATCH(Lists!$B$9,$A$1:$AB$1,0))&amp;""),""))</f>
        <v/>
      </c>
      <c r="AW177" s="31">
        <f>IF(AR177="","",IFERROR(TRIM(INDEX($A177:$AB177,MATCH(Lists!$B$8,$A$1:$AB$1,0))&amp;""),""))</f>
        <v/>
      </c>
      <c r="AX177" s="23">
        <f>IF(AR177="","",IF(OR(TRIM(AE177&amp;"")&lt;&gt;"",AND(Skills!$B$5&lt;&gt;"",ISNUMBER(SEARCH(Skills!$B$5,AU177)))),1,0))</f>
        <v/>
      </c>
      <c r="AY177" s="23">
        <f>IF(AR177="","",IF(OR(TRIM(AF177&amp;"")&lt;&gt;"",AND(Skills!$B$6&lt;&gt;"",ISNUMBER(SEARCH(Skills!$B$6,AU177)))),1,0))</f>
        <v/>
      </c>
      <c r="AZ177" s="23">
        <f>IF(AR177="","",IF(OR(TRIM(AG177&amp;"")&lt;&gt;"",AND(Skills!$B$7&lt;&gt;"",ISNUMBER(SEARCH(Skills!$B$7,AU177)))),1,0))</f>
        <v/>
      </c>
      <c r="BA177" s="23">
        <f>IF(AR177="","",IF(OR(TRIM(AH177&amp;"")&lt;&gt;"",AND(Skills!$B$8&lt;&gt;"",ISNUMBER(SEARCH(Skills!$B$8,AU177)))),1,0))</f>
        <v/>
      </c>
      <c r="BB177" s="23">
        <f>IF(AR177="","",IF(OR(TRIM(AI177&amp;"")&lt;&gt;"",AND(Skills!$B$9&lt;&gt;"",ISNUMBER(SEARCH(Skills!$B$9,AU177)))),1,0))</f>
        <v/>
      </c>
      <c r="BC177" s="23">
        <f>IF(AR177="","",IF(OR(TRIM(AJ177&amp;"")&lt;&gt;"",AND(Skills!$B$10&lt;&gt;"",ISNUMBER(SEARCH(Skills!$B$10,AU177)))),1,0))</f>
        <v/>
      </c>
      <c r="BD177" s="23">
        <f>IF(AR177="","",IF(OR(TRIM(AK177&amp;"")&lt;&gt;"",AND(Skills!$B$11&lt;&gt;"",ISNUMBER(SEARCH(Skills!$B$11,AU177)))),1,0))</f>
        <v/>
      </c>
      <c r="BE177" s="23">
        <f>IF(AR177="","",IF(OR(TRIM(AL177&amp;"")&lt;&gt;"",AND(Skills!$B$12&lt;&gt;"",ISNUMBER(SEARCH(Skills!$B$12,AU177)))),1,0))</f>
        <v/>
      </c>
      <c r="BF177" s="23">
        <f>IF(AR177="","",IF(OR(TRIM(AM177&amp;"")&lt;&gt;"",AND(Skills!$B$13&lt;&gt;"",ISNUMBER(SEARCH(Skills!$B$13,AU177)))),1,0))</f>
        <v/>
      </c>
      <c r="BG177" s="23">
        <f>IF(AR177="","",IF(OR(TRIM(AN177&amp;"")&lt;&gt;"",AND(Skills!$B$14&lt;&gt;"",ISNUMBER(SEARCH(Skills!$B$14,AU177)))),1,0))</f>
        <v/>
      </c>
      <c r="BH177" s="23">
        <f>IF(AR177="","",IF(OR(TRIM(AO177&amp;"")&lt;&gt;"",AND(Skills!$B$15&lt;&gt;"",ISNUMBER(SEARCH(Skills!$B$15,AU177)))),1,0))</f>
        <v/>
      </c>
      <c r="BI177" s="23">
        <f>IF(AR177="","",IF(OR(TRIM(AP177&amp;"")&lt;&gt;"",AND(Skills!$B$16&lt;&gt;"",ISNUMBER(SEARCH(Skills!$B$16,AU177)))),1,0))</f>
        <v/>
      </c>
      <c r="BJ177" s="23">
        <f>IF(AR177="","",SUMPRODUCT($AX177:$BI177,Skills!$B$20:$M$20))</f>
        <v/>
      </c>
      <c r="BK177" s="23">
        <f>IF(AR177="","",BJ177*100000+(100000-ROW()))</f>
        <v/>
      </c>
      <c r="BL177" s="31">
        <f>IF(AR177="","",IF((IF(AND(AX177=1,Skills!$B$20=1),Skills!$B$5&amp;", ","")&amp;IF(AND(AY177=1,Skills!$C$20=1),Skills!$B$6&amp;", ","")&amp;IF(AND(AZ177=1,Skills!$D$20=1),Skills!$B$7&amp;", ","")&amp;IF(AND(BA177=1,Skills!$E$20=1),Skills!$B$8&amp;", ","")&amp;IF(AND(BB177=1,Skills!$F$20=1),Skills!$B$9&amp;", ","")&amp;IF(AND(BC177=1,Skills!$G$20=1),Skills!$B$10&amp;", ","")&amp;IF(AND(BD177=1,Skills!$H$20=1),Skills!$B$11&amp;", ","")&amp;IF(AND(BE177=1,Skills!$I$20=1),Skills!$B$12&amp;", ","")&amp;IF(AND(BF177=1,Skills!$J$20=1),Skills!$B$13&amp;", ","")&amp;IF(AND(BG177=1,Skills!$K$20=1),Skills!$B$14&amp;", ","")&amp;IF(AND(BH177=1,Skills!$L$20=1),Skills!$B$15&amp;", ","")&amp;IF(AND(BI177=1,Skills!$M$20=1),Skills!$B$16&amp;", ",""))="","",LEFT(IF(AND(AX177=1,Skills!$B$20=1),Skills!$B$5&amp;", ","")&amp;IF(AND(AY177=1,Skills!$C$20=1),Skills!$B$6&amp;", ","")&amp;IF(AND(AZ177=1,Skills!$D$20=1),Skills!$B$7&amp;", ","")&amp;IF(AND(BA177=1,Skills!$E$20=1),Skills!$B$8&amp;", ","")&amp;IF(AND(BB177=1,Skills!$F$20=1),Skills!$B$9&amp;", ","")&amp;IF(AND(BC177=1,Skills!$G$20=1),Skills!$B$10&amp;", ","")&amp;IF(AND(BD177=1,Skills!$H$20=1),Skills!$B$11&amp;", ","")&amp;IF(AND(BE177=1,Skills!$I$20=1),Skills!$B$12&amp;", ","")&amp;IF(AND(BF177=1,Skills!$J$20=1),Skills!$B$13&amp;", ","")&amp;IF(AND(BG177=1,Skills!$K$20=1),Skills!$B$14&amp;", ","")&amp;IF(AND(BH177=1,Skills!$L$20=1),Skills!$B$15&amp;", ","")&amp;IF(AND(BI177=1,Skills!$M$20=1),Skills!$B$16&amp;", ",""),LEN(IF(AND(AX177=1,Skills!$B$20=1),Skills!$B$5&amp;", ","")&amp;IF(AND(AY177=1,Skills!$C$20=1),Skills!$B$6&amp;", ","")&amp;IF(AND(AZ177=1,Skills!$D$20=1),Skills!$B$7&amp;", ","")&amp;IF(AND(BA177=1,Skills!$E$20=1),Skills!$B$8&amp;", ","")&amp;IF(AND(BB177=1,Skills!$F$20=1),Skills!$B$9&amp;", ","")&amp;IF(AND(BC177=1,Skills!$G$20=1),Skills!$B$10&amp;", ","")&amp;IF(AND(BD177=1,Skills!$H$20=1),Skills!$B$11&amp;", ","")&amp;IF(AND(BE177=1,Skills!$I$20=1),Skills!$B$12&amp;", ","")&amp;IF(AND(BF177=1,Skills!$J$20=1),Skills!$B$13&amp;", ","")&amp;IF(AND(BG177=1,Skills!$K$20=1),Skills!$B$14&amp;", ","")&amp;IF(AND(BH177=1,Skills!$L$20=1),Skills!$B$15&amp;", ","")&amp;IF(AND(BI177=1,Skills!$M$20=1),Skills!$B$16&amp;", ",""))-2)))</f>
        <v/>
      </c>
    </row>
    <row r="178">
      <c r="AD178" s="20" t="n"/>
      <c r="AE178" s="20" t="n"/>
      <c r="AF178" s="20" t="n"/>
      <c r="AG178" s="20" t="n"/>
      <c r="AH178" s="20" t="n"/>
      <c r="AI178" s="20" t="n"/>
      <c r="AJ178" s="20" t="n"/>
      <c r="AK178" s="20" t="n"/>
      <c r="AL178" s="20" t="n"/>
      <c r="AM178" s="20" t="n"/>
      <c r="AN178" s="20" t="n"/>
      <c r="AO178" s="20" t="n"/>
      <c r="AP178" s="20" t="n"/>
      <c r="AR178" s="31">
        <f>IF(IFERROR(TRIM(INDEX($A178:$AB178,MATCH(Lists!$B$5,$A$1:$AB$1,0))&amp;""),"")&lt;&gt;"",IFERROR(TRIM(INDEX($A178:$AB178,MATCH(Lists!$B$5,$A$1:$AB$1,0))&amp;""),""),IFERROR(TRIM(INDEX($A178:$AB178,MATCH(Lists!$B$3,$A$1:$AB$1,0))&amp;""),""))</f>
        <v/>
      </c>
      <c r="AS178" s="31">
        <f>IF(AR178="","",IF(IFERROR(TRIM(INDEX($A178:$AB178,MATCH(Lists!$B$5,$A$1:$AB$1,0))&amp;""),"")&lt;&gt;"","Nominated","Applied"))</f>
        <v/>
      </c>
      <c r="AT178" s="31">
        <f>IF(AR178="","",IF(IFERROR(TRIM(INDEX($A178:$AB178,MATCH(Lists!$B$5,$A$1:$AB$1,0))&amp;""),"")&lt;&gt;"",IFERROR(TRIM(INDEX($A178:$AB178,MATCH(Lists!$B$6,$A$1:$AB$1,0))&amp;""),""),IFERROR(TRIM(INDEX($A178:$AB178,MATCH(Lists!$B$4,$A$1:$AB$1,0))&amp;""),"")))</f>
        <v/>
      </c>
      <c r="AU178" s="31">
        <f>IF(AR178="","",IFERROR(TRIM(INDEX($A178:$AB178,MATCH(Lists!$B$7,$A$1:$AB$1,0))&amp;""),""))</f>
        <v/>
      </c>
      <c r="AV178" s="31">
        <f>IF(AR178="","",IFERROR(TRIM(INDEX($A178:$AB178,MATCH(Lists!$B$9,$A$1:$AB$1,0))&amp;""),""))</f>
        <v/>
      </c>
      <c r="AW178" s="31">
        <f>IF(AR178="","",IFERROR(TRIM(INDEX($A178:$AB178,MATCH(Lists!$B$8,$A$1:$AB$1,0))&amp;""),""))</f>
        <v/>
      </c>
      <c r="AX178" s="23">
        <f>IF(AR178="","",IF(OR(TRIM(AE178&amp;"")&lt;&gt;"",AND(Skills!$B$5&lt;&gt;"",ISNUMBER(SEARCH(Skills!$B$5,AU178)))),1,0))</f>
        <v/>
      </c>
      <c r="AY178" s="23">
        <f>IF(AR178="","",IF(OR(TRIM(AF178&amp;"")&lt;&gt;"",AND(Skills!$B$6&lt;&gt;"",ISNUMBER(SEARCH(Skills!$B$6,AU178)))),1,0))</f>
        <v/>
      </c>
      <c r="AZ178" s="23">
        <f>IF(AR178="","",IF(OR(TRIM(AG178&amp;"")&lt;&gt;"",AND(Skills!$B$7&lt;&gt;"",ISNUMBER(SEARCH(Skills!$B$7,AU178)))),1,0))</f>
        <v/>
      </c>
      <c r="BA178" s="23">
        <f>IF(AR178="","",IF(OR(TRIM(AH178&amp;"")&lt;&gt;"",AND(Skills!$B$8&lt;&gt;"",ISNUMBER(SEARCH(Skills!$B$8,AU178)))),1,0))</f>
        <v/>
      </c>
      <c r="BB178" s="23">
        <f>IF(AR178="","",IF(OR(TRIM(AI178&amp;"")&lt;&gt;"",AND(Skills!$B$9&lt;&gt;"",ISNUMBER(SEARCH(Skills!$B$9,AU178)))),1,0))</f>
        <v/>
      </c>
      <c r="BC178" s="23">
        <f>IF(AR178="","",IF(OR(TRIM(AJ178&amp;"")&lt;&gt;"",AND(Skills!$B$10&lt;&gt;"",ISNUMBER(SEARCH(Skills!$B$10,AU178)))),1,0))</f>
        <v/>
      </c>
      <c r="BD178" s="23">
        <f>IF(AR178="","",IF(OR(TRIM(AK178&amp;"")&lt;&gt;"",AND(Skills!$B$11&lt;&gt;"",ISNUMBER(SEARCH(Skills!$B$11,AU178)))),1,0))</f>
        <v/>
      </c>
      <c r="BE178" s="23">
        <f>IF(AR178="","",IF(OR(TRIM(AL178&amp;"")&lt;&gt;"",AND(Skills!$B$12&lt;&gt;"",ISNUMBER(SEARCH(Skills!$B$12,AU178)))),1,0))</f>
        <v/>
      </c>
      <c r="BF178" s="23">
        <f>IF(AR178="","",IF(OR(TRIM(AM178&amp;"")&lt;&gt;"",AND(Skills!$B$13&lt;&gt;"",ISNUMBER(SEARCH(Skills!$B$13,AU178)))),1,0))</f>
        <v/>
      </c>
      <c r="BG178" s="23">
        <f>IF(AR178="","",IF(OR(TRIM(AN178&amp;"")&lt;&gt;"",AND(Skills!$B$14&lt;&gt;"",ISNUMBER(SEARCH(Skills!$B$14,AU178)))),1,0))</f>
        <v/>
      </c>
      <c r="BH178" s="23">
        <f>IF(AR178="","",IF(OR(TRIM(AO178&amp;"")&lt;&gt;"",AND(Skills!$B$15&lt;&gt;"",ISNUMBER(SEARCH(Skills!$B$15,AU178)))),1,0))</f>
        <v/>
      </c>
      <c r="BI178" s="23">
        <f>IF(AR178="","",IF(OR(TRIM(AP178&amp;"")&lt;&gt;"",AND(Skills!$B$16&lt;&gt;"",ISNUMBER(SEARCH(Skills!$B$16,AU178)))),1,0))</f>
        <v/>
      </c>
      <c r="BJ178" s="23">
        <f>IF(AR178="","",SUMPRODUCT($AX178:$BI178,Skills!$B$20:$M$20))</f>
        <v/>
      </c>
      <c r="BK178" s="23">
        <f>IF(AR178="","",BJ178*100000+(100000-ROW()))</f>
        <v/>
      </c>
      <c r="BL178" s="31">
        <f>IF(AR178="","",IF((IF(AND(AX178=1,Skills!$B$20=1),Skills!$B$5&amp;", ","")&amp;IF(AND(AY178=1,Skills!$C$20=1),Skills!$B$6&amp;", ","")&amp;IF(AND(AZ178=1,Skills!$D$20=1),Skills!$B$7&amp;", ","")&amp;IF(AND(BA178=1,Skills!$E$20=1),Skills!$B$8&amp;", ","")&amp;IF(AND(BB178=1,Skills!$F$20=1),Skills!$B$9&amp;", ","")&amp;IF(AND(BC178=1,Skills!$G$20=1),Skills!$B$10&amp;", ","")&amp;IF(AND(BD178=1,Skills!$H$20=1),Skills!$B$11&amp;", ","")&amp;IF(AND(BE178=1,Skills!$I$20=1),Skills!$B$12&amp;", ","")&amp;IF(AND(BF178=1,Skills!$J$20=1),Skills!$B$13&amp;", ","")&amp;IF(AND(BG178=1,Skills!$K$20=1),Skills!$B$14&amp;", ","")&amp;IF(AND(BH178=1,Skills!$L$20=1),Skills!$B$15&amp;", ","")&amp;IF(AND(BI178=1,Skills!$M$20=1),Skills!$B$16&amp;", ",""))="","",LEFT(IF(AND(AX178=1,Skills!$B$20=1),Skills!$B$5&amp;", ","")&amp;IF(AND(AY178=1,Skills!$C$20=1),Skills!$B$6&amp;", ","")&amp;IF(AND(AZ178=1,Skills!$D$20=1),Skills!$B$7&amp;", ","")&amp;IF(AND(BA178=1,Skills!$E$20=1),Skills!$B$8&amp;", ","")&amp;IF(AND(BB178=1,Skills!$F$20=1),Skills!$B$9&amp;", ","")&amp;IF(AND(BC178=1,Skills!$G$20=1),Skills!$B$10&amp;", ","")&amp;IF(AND(BD178=1,Skills!$H$20=1),Skills!$B$11&amp;", ","")&amp;IF(AND(BE178=1,Skills!$I$20=1),Skills!$B$12&amp;", ","")&amp;IF(AND(BF178=1,Skills!$J$20=1),Skills!$B$13&amp;", ","")&amp;IF(AND(BG178=1,Skills!$K$20=1),Skills!$B$14&amp;", ","")&amp;IF(AND(BH178=1,Skills!$L$20=1),Skills!$B$15&amp;", ","")&amp;IF(AND(BI178=1,Skills!$M$20=1),Skills!$B$16&amp;", ",""),LEN(IF(AND(AX178=1,Skills!$B$20=1),Skills!$B$5&amp;", ","")&amp;IF(AND(AY178=1,Skills!$C$20=1),Skills!$B$6&amp;", ","")&amp;IF(AND(AZ178=1,Skills!$D$20=1),Skills!$B$7&amp;", ","")&amp;IF(AND(BA178=1,Skills!$E$20=1),Skills!$B$8&amp;", ","")&amp;IF(AND(BB178=1,Skills!$F$20=1),Skills!$B$9&amp;", ","")&amp;IF(AND(BC178=1,Skills!$G$20=1),Skills!$B$10&amp;", ","")&amp;IF(AND(BD178=1,Skills!$H$20=1),Skills!$B$11&amp;", ","")&amp;IF(AND(BE178=1,Skills!$I$20=1),Skills!$B$12&amp;", ","")&amp;IF(AND(BF178=1,Skills!$J$20=1),Skills!$B$13&amp;", ","")&amp;IF(AND(BG178=1,Skills!$K$20=1),Skills!$B$14&amp;", ","")&amp;IF(AND(BH178=1,Skills!$L$20=1),Skills!$B$15&amp;", ","")&amp;IF(AND(BI178=1,Skills!$M$20=1),Skills!$B$16&amp;", ",""))-2)))</f>
        <v/>
      </c>
    </row>
    <row r="179">
      <c r="AD179" s="20" t="n"/>
      <c r="AE179" s="20" t="n"/>
      <c r="AF179" s="20" t="n"/>
      <c r="AG179" s="20" t="n"/>
      <c r="AH179" s="20" t="n"/>
      <c r="AI179" s="20" t="n"/>
      <c r="AJ179" s="20" t="n"/>
      <c r="AK179" s="20" t="n"/>
      <c r="AL179" s="20" t="n"/>
      <c r="AM179" s="20" t="n"/>
      <c r="AN179" s="20" t="n"/>
      <c r="AO179" s="20" t="n"/>
      <c r="AP179" s="20" t="n"/>
      <c r="AR179" s="31">
        <f>IF(IFERROR(TRIM(INDEX($A179:$AB179,MATCH(Lists!$B$5,$A$1:$AB$1,0))&amp;""),"")&lt;&gt;"",IFERROR(TRIM(INDEX($A179:$AB179,MATCH(Lists!$B$5,$A$1:$AB$1,0))&amp;""),""),IFERROR(TRIM(INDEX($A179:$AB179,MATCH(Lists!$B$3,$A$1:$AB$1,0))&amp;""),""))</f>
        <v/>
      </c>
      <c r="AS179" s="31">
        <f>IF(AR179="","",IF(IFERROR(TRIM(INDEX($A179:$AB179,MATCH(Lists!$B$5,$A$1:$AB$1,0))&amp;""),"")&lt;&gt;"","Nominated","Applied"))</f>
        <v/>
      </c>
      <c r="AT179" s="31">
        <f>IF(AR179="","",IF(IFERROR(TRIM(INDEX($A179:$AB179,MATCH(Lists!$B$5,$A$1:$AB$1,0))&amp;""),"")&lt;&gt;"",IFERROR(TRIM(INDEX($A179:$AB179,MATCH(Lists!$B$6,$A$1:$AB$1,0))&amp;""),""),IFERROR(TRIM(INDEX($A179:$AB179,MATCH(Lists!$B$4,$A$1:$AB$1,0))&amp;""),"")))</f>
        <v/>
      </c>
      <c r="AU179" s="31">
        <f>IF(AR179="","",IFERROR(TRIM(INDEX($A179:$AB179,MATCH(Lists!$B$7,$A$1:$AB$1,0))&amp;""),""))</f>
        <v/>
      </c>
      <c r="AV179" s="31">
        <f>IF(AR179="","",IFERROR(TRIM(INDEX($A179:$AB179,MATCH(Lists!$B$9,$A$1:$AB$1,0))&amp;""),""))</f>
        <v/>
      </c>
      <c r="AW179" s="31">
        <f>IF(AR179="","",IFERROR(TRIM(INDEX($A179:$AB179,MATCH(Lists!$B$8,$A$1:$AB$1,0))&amp;""),""))</f>
        <v/>
      </c>
      <c r="AX179" s="23">
        <f>IF(AR179="","",IF(OR(TRIM(AE179&amp;"")&lt;&gt;"",AND(Skills!$B$5&lt;&gt;"",ISNUMBER(SEARCH(Skills!$B$5,AU179)))),1,0))</f>
        <v/>
      </c>
      <c r="AY179" s="23">
        <f>IF(AR179="","",IF(OR(TRIM(AF179&amp;"")&lt;&gt;"",AND(Skills!$B$6&lt;&gt;"",ISNUMBER(SEARCH(Skills!$B$6,AU179)))),1,0))</f>
        <v/>
      </c>
      <c r="AZ179" s="23">
        <f>IF(AR179="","",IF(OR(TRIM(AG179&amp;"")&lt;&gt;"",AND(Skills!$B$7&lt;&gt;"",ISNUMBER(SEARCH(Skills!$B$7,AU179)))),1,0))</f>
        <v/>
      </c>
      <c r="BA179" s="23">
        <f>IF(AR179="","",IF(OR(TRIM(AH179&amp;"")&lt;&gt;"",AND(Skills!$B$8&lt;&gt;"",ISNUMBER(SEARCH(Skills!$B$8,AU179)))),1,0))</f>
        <v/>
      </c>
      <c r="BB179" s="23">
        <f>IF(AR179="","",IF(OR(TRIM(AI179&amp;"")&lt;&gt;"",AND(Skills!$B$9&lt;&gt;"",ISNUMBER(SEARCH(Skills!$B$9,AU179)))),1,0))</f>
        <v/>
      </c>
      <c r="BC179" s="23">
        <f>IF(AR179="","",IF(OR(TRIM(AJ179&amp;"")&lt;&gt;"",AND(Skills!$B$10&lt;&gt;"",ISNUMBER(SEARCH(Skills!$B$10,AU179)))),1,0))</f>
        <v/>
      </c>
      <c r="BD179" s="23">
        <f>IF(AR179="","",IF(OR(TRIM(AK179&amp;"")&lt;&gt;"",AND(Skills!$B$11&lt;&gt;"",ISNUMBER(SEARCH(Skills!$B$11,AU179)))),1,0))</f>
        <v/>
      </c>
      <c r="BE179" s="23">
        <f>IF(AR179="","",IF(OR(TRIM(AL179&amp;"")&lt;&gt;"",AND(Skills!$B$12&lt;&gt;"",ISNUMBER(SEARCH(Skills!$B$12,AU179)))),1,0))</f>
        <v/>
      </c>
      <c r="BF179" s="23">
        <f>IF(AR179="","",IF(OR(TRIM(AM179&amp;"")&lt;&gt;"",AND(Skills!$B$13&lt;&gt;"",ISNUMBER(SEARCH(Skills!$B$13,AU179)))),1,0))</f>
        <v/>
      </c>
      <c r="BG179" s="23">
        <f>IF(AR179="","",IF(OR(TRIM(AN179&amp;"")&lt;&gt;"",AND(Skills!$B$14&lt;&gt;"",ISNUMBER(SEARCH(Skills!$B$14,AU179)))),1,0))</f>
        <v/>
      </c>
      <c r="BH179" s="23">
        <f>IF(AR179="","",IF(OR(TRIM(AO179&amp;"")&lt;&gt;"",AND(Skills!$B$15&lt;&gt;"",ISNUMBER(SEARCH(Skills!$B$15,AU179)))),1,0))</f>
        <v/>
      </c>
      <c r="BI179" s="23">
        <f>IF(AR179="","",IF(OR(TRIM(AP179&amp;"")&lt;&gt;"",AND(Skills!$B$16&lt;&gt;"",ISNUMBER(SEARCH(Skills!$B$16,AU179)))),1,0))</f>
        <v/>
      </c>
      <c r="BJ179" s="23">
        <f>IF(AR179="","",SUMPRODUCT($AX179:$BI179,Skills!$B$20:$M$20))</f>
        <v/>
      </c>
      <c r="BK179" s="23">
        <f>IF(AR179="","",BJ179*100000+(100000-ROW()))</f>
        <v/>
      </c>
      <c r="BL179" s="31">
        <f>IF(AR179="","",IF((IF(AND(AX179=1,Skills!$B$20=1),Skills!$B$5&amp;", ","")&amp;IF(AND(AY179=1,Skills!$C$20=1),Skills!$B$6&amp;", ","")&amp;IF(AND(AZ179=1,Skills!$D$20=1),Skills!$B$7&amp;", ","")&amp;IF(AND(BA179=1,Skills!$E$20=1),Skills!$B$8&amp;", ","")&amp;IF(AND(BB179=1,Skills!$F$20=1),Skills!$B$9&amp;", ","")&amp;IF(AND(BC179=1,Skills!$G$20=1),Skills!$B$10&amp;", ","")&amp;IF(AND(BD179=1,Skills!$H$20=1),Skills!$B$11&amp;", ","")&amp;IF(AND(BE179=1,Skills!$I$20=1),Skills!$B$12&amp;", ","")&amp;IF(AND(BF179=1,Skills!$J$20=1),Skills!$B$13&amp;", ","")&amp;IF(AND(BG179=1,Skills!$K$20=1),Skills!$B$14&amp;", ","")&amp;IF(AND(BH179=1,Skills!$L$20=1),Skills!$B$15&amp;", ","")&amp;IF(AND(BI179=1,Skills!$M$20=1),Skills!$B$16&amp;", ",""))="","",LEFT(IF(AND(AX179=1,Skills!$B$20=1),Skills!$B$5&amp;", ","")&amp;IF(AND(AY179=1,Skills!$C$20=1),Skills!$B$6&amp;", ","")&amp;IF(AND(AZ179=1,Skills!$D$20=1),Skills!$B$7&amp;", ","")&amp;IF(AND(BA179=1,Skills!$E$20=1),Skills!$B$8&amp;", ","")&amp;IF(AND(BB179=1,Skills!$F$20=1),Skills!$B$9&amp;", ","")&amp;IF(AND(BC179=1,Skills!$G$20=1),Skills!$B$10&amp;", ","")&amp;IF(AND(BD179=1,Skills!$H$20=1),Skills!$B$11&amp;", ","")&amp;IF(AND(BE179=1,Skills!$I$20=1),Skills!$B$12&amp;", ","")&amp;IF(AND(BF179=1,Skills!$J$20=1),Skills!$B$13&amp;", ","")&amp;IF(AND(BG179=1,Skills!$K$20=1),Skills!$B$14&amp;", ","")&amp;IF(AND(BH179=1,Skills!$L$20=1),Skills!$B$15&amp;", ","")&amp;IF(AND(BI179=1,Skills!$M$20=1),Skills!$B$16&amp;", ",""),LEN(IF(AND(AX179=1,Skills!$B$20=1),Skills!$B$5&amp;", ","")&amp;IF(AND(AY179=1,Skills!$C$20=1),Skills!$B$6&amp;", ","")&amp;IF(AND(AZ179=1,Skills!$D$20=1),Skills!$B$7&amp;", ","")&amp;IF(AND(BA179=1,Skills!$E$20=1),Skills!$B$8&amp;", ","")&amp;IF(AND(BB179=1,Skills!$F$20=1),Skills!$B$9&amp;", ","")&amp;IF(AND(BC179=1,Skills!$G$20=1),Skills!$B$10&amp;", ","")&amp;IF(AND(BD179=1,Skills!$H$20=1),Skills!$B$11&amp;", ","")&amp;IF(AND(BE179=1,Skills!$I$20=1),Skills!$B$12&amp;", ","")&amp;IF(AND(BF179=1,Skills!$J$20=1),Skills!$B$13&amp;", ","")&amp;IF(AND(BG179=1,Skills!$K$20=1),Skills!$B$14&amp;", ","")&amp;IF(AND(BH179=1,Skills!$L$20=1),Skills!$B$15&amp;", ","")&amp;IF(AND(BI179=1,Skills!$M$20=1),Skills!$B$16&amp;", ",""))-2)))</f>
        <v/>
      </c>
    </row>
    <row r="180">
      <c r="AD180" s="20" t="n"/>
      <c r="AE180" s="20" t="n"/>
      <c r="AF180" s="20" t="n"/>
      <c r="AG180" s="20" t="n"/>
      <c r="AH180" s="20" t="n"/>
      <c r="AI180" s="20" t="n"/>
      <c r="AJ180" s="20" t="n"/>
      <c r="AK180" s="20" t="n"/>
      <c r="AL180" s="20" t="n"/>
      <c r="AM180" s="20" t="n"/>
      <c r="AN180" s="20" t="n"/>
      <c r="AO180" s="20" t="n"/>
      <c r="AP180" s="20" t="n"/>
      <c r="AR180" s="31">
        <f>IF(IFERROR(TRIM(INDEX($A180:$AB180,MATCH(Lists!$B$5,$A$1:$AB$1,0))&amp;""),"")&lt;&gt;"",IFERROR(TRIM(INDEX($A180:$AB180,MATCH(Lists!$B$5,$A$1:$AB$1,0))&amp;""),""),IFERROR(TRIM(INDEX($A180:$AB180,MATCH(Lists!$B$3,$A$1:$AB$1,0))&amp;""),""))</f>
        <v/>
      </c>
      <c r="AS180" s="31">
        <f>IF(AR180="","",IF(IFERROR(TRIM(INDEX($A180:$AB180,MATCH(Lists!$B$5,$A$1:$AB$1,0))&amp;""),"")&lt;&gt;"","Nominated","Applied"))</f>
        <v/>
      </c>
      <c r="AT180" s="31">
        <f>IF(AR180="","",IF(IFERROR(TRIM(INDEX($A180:$AB180,MATCH(Lists!$B$5,$A$1:$AB$1,0))&amp;""),"")&lt;&gt;"",IFERROR(TRIM(INDEX($A180:$AB180,MATCH(Lists!$B$6,$A$1:$AB$1,0))&amp;""),""),IFERROR(TRIM(INDEX($A180:$AB180,MATCH(Lists!$B$4,$A$1:$AB$1,0))&amp;""),"")))</f>
        <v/>
      </c>
      <c r="AU180" s="31">
        <f>IF(AR180="","",IFERROR(TRIM(INDEX($A180:$AB180,MATCH(Lists!$B$7,$A$1:$AB$1,0))&amp;""),""))</f>
        <v/>
      </c>
      <c r="AV180" s="31">
        <f>IF(AR180="","",IFERROR(TRIM(INDEX($A180:$AB180,MATCH(Lists!$B$9,$A$1:$AB$1,0))&amp;""),""))</f>
        <v/>
      </c>
      <c r="AW180" s="31">
        <f>IF(AR180="","",IFERROR(TRIM(INDEX($A180:$AB180,MATCH(Lists!$B$8,$A$1:$AB$1,0))&amp;""),""))</f>
        <v/>
      </c>
      <c r="AX180" s="23">
        <f>IF(AR180="","",IF(OR(TRIM(AE180&amp;"")&lt;&gt;"",AND(Skills!$B$5&lt;&gt;"",ISNUMBER(SEARCH(Skills!$B$5,AU180)))),1,0))</f>
        <v/>
      </c>
      <c r="AY180" s="23">
        <f>IF(AR180="","",IF(OR(TRIM(AF180&amp;"")&lt;&gt;"",AND(Skills!$B$6&lt;&gt;"",ISNUMBER(SEARCH(Skills!$B$6,AU180)))),1,0))</f>
        <v/>
      </c>
      <c r="AZ180" s="23">
        <f>IF(AR180="","",IF(OR(TRIM(AG180&amp;"")&lt;&gt;"",AND(Skills!$B$7&lt;&gt;"",ISNUMBER(SEARCH(Skills!$B$7,AU180)))),1,0))</f>
        <v/>
      </c>
      <c r="BA180" s="23">
        <f>IF(AR180="","",IF(OR(TRIM(AH180&amp;"")&lt;&gt;"",AND(Skills!$B$8&lt;&gt;"",ISNUMBER(SEARCH(Skills!$B$8,AU180)))),1,0))</f>
        <v/>
      </c>
      <c r="BB180" s="23">
        <f>IF(AR180="","",IF(OR(TRIM(AI180&amp;"")&lt;&gt;"",AND(Skills!$B$9&lt;&gt;"",ISNUMBER(SEARCH(Skills!$B$9,AU180)))),1,0))</f>
        <v/>
      </c>
      <c r="BC180" s="23">
        <f>IF(AR180="","",IF(OR(TRIM(AJ180&amp;"")&lt;&gt;"",AND(Skills!$B$10&lt;&gt;"",ISNUMBER(SEARCH(Skills!$B$10,AU180)))),1,0))</f>
        <v/>
      </c>
      <c r="BD180" s="23">
        <f>IF(AR180="","",IF(OR(TRIM(AK180&amp;"")&lt;&gt;"",AND(Skills!$B$11&lt;&gt;"",ISNUMBER(SEARCH(Skills!$B$11,AU180)))),1,0))</f>
        <v/>
      </c>
      <c r="BE180" s="23">
        <f>IF(AR180="","",IF(OR(TRIM(AL180&amp;"")&lt;&gt;"",AND(Skills!$B$12&lt;&gt;"",ISNUMBER(SEARCH(Skills!$B$12,AU180)))),1,0))</f>
        <v/>
      </c>
      <c r="BF180" s="23">
        <f>IF(AR180="","",IF(OR(TRIM(AM180&amp;"")&lt;&gt;"",AND(Skills!$B$13&lt;&gt;"",ISNUMBER(SEARCH(Skills!$B$13,AU180)))),1,0))</f>
        <v/>
      </c>
      <c r="BG180" s="23">
        <f>IF(AR180="","",IF(OR(TRIM(AN180&amp;"")&lt;&gt;"",AND(Skills!$B$14&lt;&gt;"",ISNUMBER(SEARCH(Skills!$B$14,AU180)))),1,0))</f>
        <v/>
      </c>
      <c r="BH180" s="23">
        <f>IF(AR180="","",IF(OR(TRIM(AO180&amp;"")&lt;&gt;"",AND(Skills!$B$15&lt;&gt;"",ISNUMBER(SEARCH(Skills!$B$15,AU180)))),1,0))</f>
        <v/>
      </c>
      <c r="BI180" s="23">
        <f>IF(AR180="","",IF(OR(TRIM(AP180&amp;"")&lt;&gt;"",AND(Skills!$B$16&lt;&gt;"",ISNUMBER(SEARCH(Skills!$B$16,AU180)))),1,0))</f>
        <v/>
      </c>
      <c r="BJ180" s="23">
        <f>IF(AR180="","",SUMPRODUCT($AX180:$BI180,Skills!$B$20:$M$20))</f>
        <v/>
      </c>
      <c r="BK180" s="23">
        <f>IF(AR180="","",BJ180*100000+(100000-ROW()))</f>
        <v/>
      </c>
      <c r="BL180" s="31">
        <f>IF(AR180="","",IF((IF(AND(AX180=1,Skills!$B$20=1),Skills!$B$5&amp;", ","")&amp;IF(AND(AY180=1,Skills!$C$20=1),Skills!$B$6&amp;", ","")&amp;IF(AND(AZ180=1,Skills!$D$20=1),Skills!$B$7&amp;", ","")&amp;IF(AND(BA180=1,Skills!$E$20=1),Skills!$B$8&amp;", ","")&amp;IF(AND(BB180=1,Skills!$F$20=1),Skills!$B$9&amp;", ","")&amp;IF(AND(BC180=1,Skills!$G$20=1),Skills!$B$10&amp;", ","")&amp;IF(AND(BD180=1,Skills!$H$20=1),Skills!$B$11&amp;", ","")&amp;IF(AND(BE180=1,Skills!$I$20=1),Skills!$B$12&amp;", ","")&amp;IF(AND(BF180=1,Skills!$J$20=1),Skills!$B$13&amp;", ","")&amp;IF(AND(BG180=1,Skills!$K$20=1),Skills!$B$14&amp;", ","")&amp;IF(AND(BH180=1,Skills!$L$20=1),Skills!$B$15&amp;", ","")&amp;IF(AND(BI180=1,Skills!$M$20=1),Skills!$B$16&amp;", ",""))="","",LEFT(IF(AND(AX180=1,Skills!$B$20=1),Skills!$B$5&amp;", ","")&amp;IF(AND(AY180=1,Skills!$C$20=1),Skills!$B$6&amp;", ","")&amp;IF(AND(AZ180=1,Skills!$D$20=1),Skills!$B$7&amp;", ","")&amp;IF(AND(BA180=1,Skills!$E$20=1),Skills!$B$8&amp;", ","")&amp;IF(AND(BB180=1,Skills!$F$20=1),Skills!$B$9&amp;", ","")&amp;IF(AND(BC180=1,Skills!$G$20=1),Skills!$B$10&amp;", ","")&amp;IF(AND(BD180=1,Skills!$H$20=1),Skills!$B$11&amp;", ","")&amp;IF(AND(BE180=1,Skills!$I$20=1),Skills!$B$12&amp;", ","")&amp;IF(AND(BF180=1,Skills!$J$20=1),Skills!$B$13&amp;", ","")&amp;IF(AND(BG180=1,Skills!$K$20=1),Skills!$B$14&amp;", ","")&amp;IF(AND(BH180=1,Skills!$L$20=1),Skills!$B$15&amp;", ","")&amp;IF(AND(BI180=1,Skills!$M$20=1),Skills!$B$16&amp;", ",""),LEN(IF(AND(AX180=1,Skills!$B$20=1),Skills!$B$5&amp;", ","")&amp;IF(AND(AY180=1,Skills!$C$20=1),Skills!$B$6&amp;", ","")&amp;IF(AND(AZ180=1,Skills!$D$20=1),Skills!$B$7&amp;", ","")&amp;IF(AND(BA180=1,Skills!$E$20=1),Skills!$B$8&amp;", ","")&amp;IF(AND(BB180=1,Skills!$F$20=1),Skills!$B$9&amp;", ","")&amp;IF(AND(BC180=1,Skills!$G$20=1),Skills!$B$10&amp;", ","")&amp;IF(AND(BD180=1,Skills!$H$20=1),Skills!$B$11&amp;", ","")&amp;IF(AND(BE180=1,Skills!$I$20=1),Skills!$B$12&amp;", ","")&amp;IF(AND(BF180=1,Skills!$J$20=1),Skills!$B$13&amp;", ","")&amp;IF(AND(BG180=1,Skills!$K$20=1),Skills!$B$14&amp;", ","")&amp;IF(AND(BH180=1,Skills!$L$20=1),Skills!$B$15&amp;", ","")&amp;IF(AND(BI180=1,Skills!$M$20=1),Skills!$B$16&amp;", ",""))-2)))</f>
        <v/>
      </c>
    </row>
    <row r="181">
      <c r="AD181" s="20" t="n"/>
      <c r="AE181" s="20" t="n"/>
      <c r="AF181" s="20" t="n"/>
      <c r="AG181" s="20" t="n"/>
      <c r="AH181" s="20" t="n"/>
      <c r="AI181" s="20" t="n"/>
      <c r="AJ181" s="20" t="n"/>
      <c r="AK181" s="20" t="n"/>
      <c r="AL181" s="20" t="n"/>
      <c r="AM181" s="20" t="n"/>
      <c r="AN181" s="20" t="n"/>
      <c r="AO181" s="20" t="n"/>
      <c r="AP181" s="20" t="n"/>
      <c r="AR181" s="31">
        <f>IF(IFERROR(TRIM(INDEX($A181:$AB181,MATCH(Lists!$B$5,$A$1:$AB$1,0))&amp;""),"")&lt;&gt;"",IFERROR(TRIM(INDEX($A181:$AB181,MATCH(Lists!$B$5,$A$1:$AB$1,0))&amp;""),""),IFERROR(TRIM(INDEX($A181:$AB181,MATCH(Lists!$B$3,$A$1:$AB$1,0))&amp;""),""))</f>
        <v/>
      </c>
      <c r="AS181" s="31">
        <f>IF(AR181="","",IF(IFERROR(TRIM(INDEX($A181:$AB181,MATCH(Lists!$B$5,$A$1:$AB$1,0))&amp;""),"")&lt;&gt;"","Nominated","Applied"))</f>
        <v/>
      </c>
      <c r="AT181" s="31">
        <f>IF(AR181="","",IF(IFERROR(TRIM(INDEX($A181:$AB181,MATCH(Lists!$B$5,$A$1:$AB$1,0))&amp;""),"")&lt;&gt;"",IFERROR(TRIM(INDEX($A181:$AB181,MATCH(Lists!$B$6,$A$1:$AB$1,0))&amp;""),""),IFERROR(TRIM(INDEX($A181:$AB181,MATCH(Lists!$B$4,$A$1:$AB$1,0))&amp;""),"")))</f>
        <v/>
      </c>
      <c r="AU181" s="31">
        <f>IF(AR181="","",IFERROR(TRIM(INDEX($A181:$AB181,MATCH(Lists!$B$7,$A$1:$AB$1,0))&amp;""),""))</f>
        <v/>
      </c>
      <c r="AV181" s="31">
        <f>IF(AR181="","",IFERROR(TRIM(INDEX($A181:$AB181,MATCH(Lists!$B$9,$A$1:$AB$1,0))&amp;""),""))</f>
        <v/>
      </c>
      <c r="AW181" s="31">
        <f>IF(AR181="","",IFERROR(TRIM(INDEX($A181:$AB181,MATCH(Lists!$B$8,$A$1:$AB$1,0))&amp;""),""))</f>
        <v/>
      </c>
      <c r="AX181" s="23">
        <f>IF(AR181="","",IF(OR(TRIM(AE181&amp;"")&lt;&gt;"",AND(Skills!$B$5&lt;&gt;"",ISNUMBER(SEARCH(Skills!$B$5,AU181)))),1,0))</f>
        <v/>
      </c>
      <c r="AY181" s="23">
        <f>IF(AR181="","",IF(OR(TRIM(AF181&amp;"")&lt;&gt;"",AND(Skills!$B$6&lt;&gt;"",ISNUMBER(SEARCH(Skills!$B$6,AU181)))),1,0))</f>
        <v/>
      </c>
      <c r="AZ181" s="23">
        <f>IF(AR181="","",IF(OR(TRIM(AG181&amp;"")&lt;&gt;"",AND(Skills!$B$7&lt;&gt;"",ISNUMBER(SEARCH(Skills!$B$7,AU181)))),1,0))</f>
        <v/>
      </c>
      <c r="BA181" s="23">
        <f>IF(AR181="","",IF(OR(TRIM(AH181&amp;"")&lt;&gt;"",AND(Skills!$B$8&lt;&gt;"",ISNUMBER(SEARCH(Skills!$B$8,AU181)))),1,0))</f>
        <v/>
      </c>
      <c r="BB181" s="23">
        <f>IF(AR181="","",IF(OR(TRIM(AI181&amp;"")&lt;&gt;"",AND(Skills!$B$9&lt;&gt;"",ISNUMBER(SEARCH(Skills!$B$9,AU181)))),1,0))</f>
        <v/>
      </c>
      <c r="BC181" s="23">
        <f>IF(AR181="","",IF(OR(TRIM(AJ181&amp;"")&lt;&gt;"",AND(Skills!$B$10&lt;&gt;"",ISNUMBER(SEARCH(Skills!$B$10,AU181)))),1,0))</f>
        <v/>
      </c>
      <c r="BD181" s="23">
        <f>IF(AR181="","",IF(OR(TRIM(AK181&amp;"")&lt;&gt;"",AND(Skills!$B$11&lt;&gt;"",ISNUMBER(SEARCH(Skills!$B$11,AU181)))),1,0))</f>
        <v/>
      </c>
      <c r="BE181" s="23">
        <f>IF(AR181="","",IF(OR(TRIM(AL181&amp;"")&lt;&gt;"",AND(Skills!$B$12&lt;&gt;"",ISNUMBER(SEARCH(Skills!$B$12,AU181)))),1,0))</f>
        <v/>
      </c>
      <c r="BF181" s="23">
        <f>IF(AR181="","",IF(OR(TRIM(AM181&amp;"")&lt;&gt;"",AND(Skills!$B$13&lt;&gt;"",ISNUMBER(SEARCH(Skills!$B$13,AU181)))),1,0))</f>
        <v/>
      </c>
      <c r="BG181" s="23">
        <f>IF(AR181="","",IF(OR(TRIM(AN181&amp;"")&lt;&gt;"",AND(Skills!$B$14&lt;&gt;"",ISNUMBER(SEARCH(Skills!$B$14,AU181)))),1,0))</f>
        <v/>
      </c>
      <c r="BH181" s="23">
        <f>IF(AR181="","",IF(OR(TRIM(AO181&amp;"")&lt;&gt;"",AND(Skills!$B$15&lt;&gt;"",ISNUMBER(SEARCH(Skills!$B$15,AU181)))),1,0))</f>
        <v/>
      </c>
      <c r="BI181" s="23">
        <f>IF(AR181="","",IF(OR(TRIM(AP181&amp;"")&lt;&gt;"",AND(Skills!$B$16&lt;&gt;"",ISNUMBER(SEARCH(Skills!$B$16,AU181)))),1,0))</f>
        <v/>
      </c>
      <c r="BJ181" s="23">
        <f>IF(AR181="","",SUMPRODUCT($AX181:$BI181,Skills!$B$20:$M$20))</f>
        <v/>
      </c>
      <c r="BK181" s="23">
        <f>IF(AR181="","",BJ181*100000+(100000-ROW()))</f>
        <v/>
      </c>
      <c r="BL181" s="31">
        <f>IF(AR181="","",IF((IF(AND(AX181=1,Skills!$B$20=1),Skills!$B$5&amp;", ","")&amp;IF(AND(AY181=1,Skills!$C$20=1),Skills!$B$6&amp;", ","")&amp;IF(AND(AZ181=1,Skills!$D$20=1),Skills!$B$7&amp;", ","")&amp;IF(AND(BA181=1,Skills!$E$20=1),Skills!$B$8&amp;", ","")&amp;IF(AND(BB181=1,Skills!$F$20=1),Skills!$B$9&amp;", ","")&amp;IF(AND(BC181=1,Skills!$G$20=1),Skills!$B$10&amp;", ","")&amp;IF(AND(BD181=1,Skills!$H$20=1),Skills!$B$11&amp;", ","")&amp;IF(AND(BE181=1,Skills!$I$20=1),Skills!$B$12&amp;", ","")&amp;IF(AND(BF181=1,Skills!$J$20=1),Skills!$B$13&amp;", ","")&amp;IF(AND(BG181=1,Skills!$K$20=1),Skills!$B$14&amp;", ","")&amp;IF(AND(BH181=1,Skills!$L$20=1),Skills!$B$15&amp;", ","")&amp;IF(AND(BI181=1,Skills!$M$20=1),Skills!$B$16&amp;", ",""))="","",LEFT(IF(AND(AX181=1,Skills!$B$20=1),Skills!$B$5&amp;", ","")&amp;IF(AND(AY181=1,Skills!$C$20=1),Skills!$B$6&amp;", ","")&amp;IF(AND(AZ181=1,Skills!$D$20=1),Skills!$B$7&amp;", ","")&amp;IF(AND(BA181=1,Skills!$E$20=1),Skills!$B$8&amp;", ","")&amp;IF(AND(BB181=1,Skills!$F$20=1),Skills!$B$9&amp;", ","")&amp;IF(AND(BC181=1,Skills!$G$20=1),Skills!$B$10&amp;", ","")&amp;IF(AND(BD181=1,Skills!$H$20=1),Skills!$B$11&amp;", ","")&amp;IF(AND(BE181=1,Skills!$I$20=1),Skills!$B$12&amp;", ","")&amp;IF(AND(BF181=1,Skills!$J$20=1),Skills!$B$13&amp;", ","")&amp;IF(AND(BG181=1,Skills!$K$20=1),Skills!$B$14&amp;", ","")&amp;IF(AND(BH181=1,Skills!$L$20=1),Skills!$B$15&amp;", ","")&amp;IF(AND(BI181=1,Skills!$M$20=1),Skills!$B$16&amp;", ",""),LEN(IF(AND(AX181=1,Skills!$B$20=1),Skills!$B$5&amp;", ","")&amp;IF(AND(AY181=1,Skills!$C$20=1),Skills!$B$6&amp;", ","")&amp;IF(AND(AZ181=1,Skills!$D$20=1),Skills!$B$7&amp;", ","")&amp;IF(AND(BA181=1,Skills!$E$20=1),Skills!$B$8&amp;", ","")&amp;IF(AND(BB181=1,Skills!$F$20=1),Skills!$B$9&amp;", ","")&amp;IF(AND(BC181=1,Skills!$G$20=1),Skills!$B$10&amp;", ","")&amp;IF(AND(BD181=1,Skills!$H$20=1),Skills!$B$11&amp;", ","")&amp;IF(AND(BE181=1,Skills!$I$20=1),Skills!$B$12&amp;", ","")&amp;IF(AND(BF181=1,Skills!$J$20=1),Skills!$B$13&amp;", ","")&amp;IF(AND(BG181=1,Skills!$K$20=1),Skills!$B$14&amp;", ","")&amp;IF(AND(BH181=1,Skills!$L$20=1),Skills!$B$15&amp;", ","")&amp;IF(AND(BI181=1,Skills!$M$20=1),Skills!$B$16&amp;", ",""))-2)))</f>
        <v/>
      </c>
    </row>
    <row r="182">
      <c r="AD182" s="20" t="n"/>
      <c r="AE182" s="20" t="n"/>
      <c r="AF182" s="20" t="n"/>
      <c r="AG182" s="20" t="n"/>
      <c r="AH182" s="20" t="n"/>
      <c r="AI182" s="20" t="n"/>
      <c r="AJ182" s="20" t="n"/>
      <c r="AK182" s="20" t="n"/>
      <c r="AL182" s="20" t="n"/>
      <c r="AM182" s="20" t="n"/>
      <c r="AN182" s="20" t="n"/>
      <c r="AO182" s="20" t="n"/>
      <c r="AP182" s="20" t="n"/>
      <c r="AR182" s="31">
        <f>IF(IFERROR(TRIM(INDEX($A182:$AB182,MATCH(Lists!$B$5,$A$1:$AB$1,0))&amp;""),"")&lt;&gt;"",IFERROR(TRIM(INDEX($A182:$AB182,MATCH(Lists!$B$5,$A$1:$AB$1,0))&amp;""),""),IFERROR(TRIM(INDEX($A182:$AB182,MATCH(Lists!$B$3,$A$1:$AB$1,0))&amp;""),""))</f>
        <v/>
      </c>
      <c r="AS182" s="31">
        <f>IF(AR182="","",IF(IFERROR(TRIM(INDEX($A182:$AB182,MATCH(Lists!$B$5,$A$1:$AB$1,0))&amp;""),"")&lt;&gt;"","Nominated","Applied"))</f>
        <v/>
      </c>
      <c r="AT182" s="31">
        <f>IF(AR182="","",IF(IFERROR(TRIM(INDEX($A182:$AB182,MATCH(Lists!$B$5,$A$1:$AB$1,0))&amp;""),"")&lt;&gt;"",IFERROR(TRIM(INDEX($A182:$AB182,MATCH(Lists!$B$6,$A$1:$AB$1,0))&amp;""),""),IFERROR(TRIM(INDEX($A182:$AB182,MATCH(Lists!$B$4,$A$1:$AB$1,0))&amp;""),"")))</f>
        <v/>
      </c>
      <c r="AU182" s="31">
        <f>IF(AR182="","",IFERROR(TRIM(INDEX($A182:$AB182,MATCH(Lists!$B$7,$A$1:$AB$1,0))&amp;""),""))</f>
        <v/>
      </c>
      <c r="AV182" s="31">
        <f>IF(AR182="","",IFERROR(TRIM(INDEX($A182:$AB182,MATCH(Lists!$B$9,$A$1:$AB$1,0))&amp;""),""))</f>
        <v/>
      </c>
      <c r="AW182" s="31">
        <f>IF(AR182="","",IFERROR(TRIM(INDEX($A182:$AB182,MATCH(Lists!$B$8,$A$1:$AB$1,0))&amp;""),""))</f>
        <v/>
      </c>
      <c r="AX182" s="23">
        <f>IF(AR182="","",IF(OR(TRIM(AE182&amp;"")&lt;&gt;"",AND(Skills!$B$5&lt;&gt;"",ISNUMBER(SEARCH(Skills!$B$5,AU182)))),1,0))</f>
        <v/>
      </c>
      <c r="AY182" s="23">
        <f>IF(AR182="","",IF(OR(TRIM(AF182&amp;"")&lt;&gt;"",AND(Skills!$B$6&lt;&gt;"",ISNUMBER(SEARCH(Skills!$B$6,AU182)))),1,0))</f>
        <v/>
      </c>
      <c r="AZ182" s="23">
        <f>IF(AR182="","",IF(OR(TRIM(AG182&amp;"")&lt;&gt;"",AND(Skills!$B$7&lt;&gt;"",ISNUMBER(SEARCH(Skills!$B$7,AU182)))),1,0))</f>
        <v/>
      </c>
      <c r="BA182" s="23">
        <f>IF(AR182="","",IF(OR(TRIM(AH182&amp;"")&lt;&gt;"",AND(Skills!$B$8&lt;&gt;"",ISNUMBER(SEARCH(Skills!$B$8,AU182)))),1,0))</f>
        <v/>
      </c>
      <c r="BB182" s="23">
        <f>IF(AR182="","",IF(OR(TRIM(AI182&amp;"")&lt;&gt;"",AND(Skills!$B$9&lt;&gt;"",ISNUMBER(SEARCH(Skills!$B$9,AU182)))),1,0))</f>
        <v/>
      </c>
      <c r="BC182" s="23">
        <f>IF(AR182="","",IF(OR(TRIM(AJ182&amp;"")&lt;&gt;"",AND(Skills!$B$10&lt;&gt;"",ISNUMBER(SEARCH(Skills!$B$10,AU182)))),1,0))</f>
        <v/>
      </c>
      <c r="BD182" s="23">
        <f>IF(AR182="","",IF(OR(TRIM(AK182&amp;"")&lt;&gt;"",AND(Skills!$B$11&lt;&gt;"",ISNUMBER(SEARCH(Skills!$B$11,AU182)))),1,0))</f>
        <v/>
      </c>
      <c r="BE182" s="23">
        <f>IF(AR182="","",IF(OR(TRIM(AL182&amp;"")&lt;&gt;"",AND(Skills!$B$12&lt;&gt;"",ISNUMBER(SEARCH(Skills!$B$12,AU182)))),1,0))</f>
        <v/>
      </c>
      <c r="BF182" s="23">
        <f>IF(AR182="","",IF(OR(TRIM(AM182&amp;"")&lt;&gt;"",AND(Skills!$B$13&lt;&gt;"",ISNUMBER(SEARCH(Skills!$B$13,AU182)))),1,0))</f>
        <v/>
      </c>
      <c r="BG182" s="23">
        <f>IF(AR182="","",IF(OR(TRIM(AN182&amp;"")&lt;&gt;"",AND(Skills!$B$14&lt;&gt;"",ISNUMBER(SEARCH(Skills!$B$14,AU182)))),1,0))</f>
        <v/>
      </c>
      <c r="BH182" s="23">
        <f>IF(AR182="","",IF(OR(TRIM(AO182&amp;"")&lt;&gt;"",AND(Skills!$B$15&lt;&gt;"",ISNUMBER(SEARCH(Skills!$B$15,AU182)))),1,0))</f>
        <v/>
      </c>
      <c r="BI182" s="23">
        <f>IF(AR182="","",IF(OR(TRIM(AP182&amp;"")&lt;&gt;"",AND(Skills!$B$16&lt;&gt;"",ISNUMBER(SEARCH(Skills!$B$16,AU182)))),1,0))</f>
        <v/>
      </c>
      <c r="BJ182" s="23">
        <f>IF(AR182="","",SUMPRODUCT($AX182:$BI182,Skills!$B$20:$M$20))</f>
        <v/>
      </c>
      <c r="BK182" s="23">
        <f>IF(AR182="","",BJ182*100000+(100000-ROW()))</f>
        <v/>
      </c>
      <c r="BL182" s="31">
        <f>IF(AR182="","",IF((IF(AND(AX182=1,Skills!$B$20=1),Skills!$B$5&amp;", ","")&amp;IF(AND(AY182=1,Skills!$C$20=1),Skills!$B$6&amp;", ","")&amp;IF(AND(AZ182=1,Skills!$D$20=1),Skills!$B$7&amp;", ","")&amp;IF(AND(BA182=1,Skills!$E$20=1),Skills!$B$8&amp;", ","")&amp;IF(AND(BB182=1,Skills!$F$20=1),Skills!$B$9&amp;", ","")&amp;IF(AND(BC182=1,Skills!$G$20=1),Skills!$B$10&amp;", ","")&amp;IF(AND(BD182=1,Skills!$H$20=1),Skills!$B$11&amp;", ","")&amp;IF(AND(BE182=1,Skills!$I$20=1),Skills!$B$12&amp;", ","")&amp;IF(AND(BF182=1,Skills!$J$20=1),Skills!$B$13&amp;", ","")&amp;IF(AND(BG182=1,Skills!$K$20=1),Skills!$B$14&amp;", ","")&amp;IF(AND(BH182=1,Skills!$L$20=1),Skills!$B$15&amp;", ","")&amp;IF(AND(BI182=1,Skills!$M$20=1),Skills!$B$16&amp;", ",""))="","",LEFT(IF(AND(AX182=1,Skills!$B$20=1),Skills!$B$5&amp;", ","")&amp;IF(AND(AY182=1,Skills!$C$20=1),Skills!$B$6&amp;", ","")&amp;IF(AND(AZ182=1,Skills!$D$20=1),Skills!$B$7&amp;", ","")&amp;IF(AND(BA182=1,Skills!$E$20=1),Skills!$B$8&amp;", ","")&amp;IF(AND(BB182=1,Skills!$F$20=1),Skills!$B$9&amp;", ","")&amp;IF(AND(BC182=1,Skills!$G$20=1),Skills!$B$10&amp;", ","")&amp;IF(AND(BD182=1,Skills!$H$20=1),Skills!$B$11&amp;", ","")&amp;IF(AND(BE182=1,Skills!$I$20=1),Skills!$B$12&amp;", ","")&amp;IF(AND(BF182=1,Skills!$J$20=1),Skills!$B$13&amp;", ","")&amp;IF(AND(BG182=1,Skills!$K$20=1),Skills!$B$14&amp;", ","")&amp;IF(AND(BH182=1,Skills!$L$20=1),Skills!$B$15&amp;", ","")&amp;IF(AND(BI182=1,Skills!$M$20=1),Skills!$B$16&amp;", ",""),LEN(IF(AND(AX182=1,Skills!$B$20=1),Skills!$B$5&amp;", ","")&amp;IF(AND(AY182=1,Skills!$C$20=1),Skills!$B$6&amp;", ","")&amp;IF(AND(AZ182=1,Skills!$D$20=1),Skills!$B$7&amp;", ","")&amp;IF(AND(BA182=1,Skills!$E$20=1),Skills!$B$8&amp;", ","")&amp;IF(AND(BB182=1,Skills!$F$20=1),Skills!$B$9&amp;", ","")&amp;IF(AND(BC182=1,Skills!$G$20=1),Skills!$B$10&amp;", ","")&amp;IF(AND(BD182=1,Skills!$H$20=1),Skills!$B$11&amp;", ","")&amp;IF(AND(BE182=1,Skills!$I$20=1),Skills!$B$12&amp;", ","")&amp;IF(AND(BF182=1,Skills!$J$20=1),Skills!$B$13&amp;", ","")&amp;IF(AND(BG182=1,Skills!$K$20=1),Skills!$B$14&amp;", ","")&amp;IF(AND(BH182=1,Skills!$L$20=1),Skills!$B$15&amp;", ","")&amp;IF(AND(BI182=1,Skills!$M$20=1),Skills!$B$16&amp;", ",""))-2)))</f>
        <v/>
      </c>
    </row>
    <row r="183">
      <c r="AD183" s="20" t="n"/>
      <c r="AE183" s="20" t="n"/>
      <c r="AF183" s="20" t="n"/>
      <c r="AG183" s="20" t="n"/>
      <c r="AH183" s="20" t="n"/>
      <c r="AI183" s="20" t="n"/>
      <c r="AJ183" s="20" t="n"/>
      <c r="AK183" s="20" t="n"/>
      <c r="AL183" s="20" t="n"/>
      <c r="AM183" s="20" t="n"/>
      <c r="AN183" s="20" t="n"/>
      <c r="AO183" s="20" t="n"/>
      <c r="AP183" s="20" t="n"/>
      <c r="AR183" s="31">
        <f>IF(IFERROR(TRIM(INDEX($A183:$AB183,MATCH(Lists!$B$5,$A$1:$AB$1,0))&amp;""),"")&lt;&gt;"",IFERROR(TRIM(INDEX($A183:$AB183,MATCH(Lists!$B$5,$A$1:$AB$1,0))&amp;""),""),IFERROR(TRIM(INDEX($A183:$AB183,MATCH(Lists!$B$3,$A$1:$AB$1,0))&amp;""),""))</f>
        <v/>
      </c>
      <c r="AS183" s="31">
        <f>IF(AR183="","",IF(IFERROR(TRIM(INDEX($A183:$AB183,MATCH(Lists!$B$5,$A$1:$AB$1,0))&amp;""),"")&lt;&gt;"","Nominated","Applied"))</f>
        <v/>
      </c>
      <c r="AT183" s="31">
        <f>IF(AR183="","",IF(IFERROR(TRIM(INDEX($A183:$AB183,MATCH(Lists!$B$5,$A$1:$AB$1,0))&amp;""),"")&lt;&gt;"",IFERROR(TRIM(INDEX($A183:$AB183,MATCH(Lists!$B$6,$A$1:$AB$1,0))&amp;""),""),IFERROR(TRIM(INDEX($A183:$AB183,MATCH(Lists!$B$4,$A$1:$AB$1,0))&amp;""),"")))</f>
        <v/>
      </c>
      <c r="AU183" s="31">
        <f>IF(AR183="","",IFERROR(TRIM(INDEX($A183:$AB183,MATCH(Lists!$B$7,$A$1:$AB$1,0))&amp;""),""))</f>
        <v/>
      </c>
      <c r="AV183" s="31">
        <f>IF(AR183="","",IFERROR(TRIM(INDEX($A183:$AB183,MATCH(Lists!$B$9,$A$1:$AB$1,0))&amp;""),""))</f>
        <v/>
      </c>
      <c r="AW183" s="31">
        <f>IF(AR183="","",IFERROR(TRIM(INDEX($A183:$AB183,MATCH(Lists!$B$8,$A$1:$AB$1,0))&amp;""),""))</f>
        <v/>
      </c>
      <c r="AX183" s="23">
        <f>IF(AR183="","",IF(OR(TRIM(AE183&amp;"")&lt;&gt;"",AND(Skills!$B$5&lt;&gt;"",ISNUMBER(SEARCH(Skills!$B$5,AU183)))),1,0))</f>
        <v/>
      </c>
      <c r="AY183" s="23">
        <f>IF(AR183="","",IF(OR(TRIM(AF183&amp;"")&lt;&gt;"",AND(Skills!$B$6&lt;&gt;"",ISNUMBER(SEARCH(Skills!$B$6,AU183)))),1,0))</f>
        <v/>
      </c>
      <c r="AZ183" s="23">
        <f>IF(AR183="","",IF(OR(TRIM(AG183&amp;"")&lt;&gt;"",AND(Skills!$B$7&lt;&gt;"",ISNUMBER(SEARCH(Skills!$B$7,AU183)))),1,0))</f>
        <v/>
      </c>
      <c r="BA183" s="23">
        <f>IF(AR183="","",IF(OR(TRIM(AH183&amp;"")&lt;&gt;"",AND(Skills!$B$8&lt;&gt;"",ISNUMBER(SEARCH(Skills!$B$8,AU183)))),1,0))</f>
        <v/>
      </c>
      <c r="BB183" s="23">
        <f>IF(AR183="","",IF(OR(TRIM(AI183&amp;"")&lt;&gt;"",AND(Skills!$B$9&lt;&gt;"",ISNUMBER(SEARCH(Skills!$B$9,AU183)))),1,0))</f>
        <v/>
      </c>
      <c r="BC183" s="23">
        <f>IF(AR183="","",IF(OR(TRIM(AJ183&amp;"")&lt;&gt;"",AND(Skills!$B$10&lt;&gt;"",ISNUMBER(SEARCH(Skills!$B$10,AU183)))),1,0))</f>
        <v/>
      </c>
      <c r="BD183" s="23">
        <f>IF(AR183="","",IF(OR(TRIM(AK183&amp;"")&lt;&gt;"",AND(Skills!$B$11&lt;&gt;"",ISNUMBER(SEARCH(Skills!$B$11,AU183)))),1,0))</f>
        <v/>
      </c>
      <c r="BE183" s="23">
        <f>IF(AR183="","",IF(OR(TRIM(AL183&amp;"")&lt;&gt;"",AND(Skills!$B$12&lt;&gt;"",ISNUMBER(SEARCH(Skills!$B$12,AU183)))),1,0))</f>
        <v/>
      </c>
      <c r="BF183" s="23">
        <f>IF(AR183="","",IF(OR(TRIM(AM183&amp;"")&lt;&gt;"",AND(Skills!$B$13&lt;&gt;"",ISNUMBER(SEARCH(Skills!$B$13,AU183)))),1,0))</f>
        <v/>
      </c>
      <c r="BG183" s="23">
        <f>IF(AR183="","",IF(OR(TRIM(AN183&amp;"")&lt;&gt;"",AND(Skills!$B$14&lt;&gt;"",ISNUMBER(SEARCH(Skills!$B$14,AU183)))),1,0))</f>
        <v/>
      </c>
      <c r="BH183" s="23">
        <f>IF(AR183="","",IF(OR(TRIM(AO183&amp;"")&lt;&gt;"",AND(Skills!$B$15&lt;&gt;"",ISNUMBER(SEARCH(Skills!$B$15,AU183)))),1,0))</f>
        <v/>
      </c>
      <c r="BI183" s="23">
        <f>IF(AR183="","",IF(OR(TRIM(AP183&amp;"")&lt;&gt;"",AND(Skills!$B$16&lt;&gt;"",ISNUMBER(SEARCH(Skills!$B$16,AU183)))),1,0))</f>
        <v/>
      </c>
      <c r="BJ183" s="23">
        <f>IF(AR183="","",SUMPRODUCT($AX183:$BI183,Skills!$B$20:$M$20))</f>
        <v/>
      </c>
      <c r="BK183" s="23">
        <f>IF(AR183="","",BJ183*100000+(100000-ROW()))</f>
        <v/>
      </c>
      <c r="BL183" s="31">
        <f>IF(AR183="","",IF((IF(AND(AX183=1,Skills!$B$20=1),Skills!$B$5&amp;", ","")&amp;IF(AND(AY183=1,Skills!$C$20=1),Skills!$B$6&amp;", ","")&amp;IF(AND(AZ183=1,Skills!$D$20=1),Skills!$B$7&amp;", ","")&amp;IF(AND(BA183=1,Skills!$E$20=1),Skills!$B$8&amp;", ","")&amp;IF(AND(BB183=1,Skills!$F$20=1),Skills!$B$9&amp;", ","")&amp;IF(AND(BC183=1,Skills!$G$20=1),Skills!$B$10&amp;", ","")&amp;IF(AND(BD183=1,Skills!$H$20=1),Skills!$B$11&amp;", ","")&amp;IF(AND(BE183=1,Skills!$I$20=1),Skills!$B$12&amp;", ","")&amp;IF(AND(BF183=1,Skills!$J$20=1),Skills!$B$13&amp;", ","")&amp;IF(AND(BG183=1,Skills!$K$20=1),Skills!$B$14&amp;", ","")&amp;IF(AND(BH183=1,Skills!$L$20=1),Skills!$B$15&amp;", ","")&amp;IF(AND(BI183=1,Skills!$M$20=1),Skills!$B$16&amp;", ",""))="","",LEFT(IF(AND(AX183=1,Skills!$B$20=1),Skills!$B$5&amp;", ","")&amp;IF(AND(AY183=1,Skills!$C$20=1),Skills!$B$6&amp;", ","")&amp;IF(AND(AZ183=1,Skills!$D$20=1),Skills!$B$7&amp;", ","")&amp;IF(AND(BA183=1,Skills!$E$20=1),Skills!$B$8&amp;", ","")&amp;IF(AND(BB183=1,Skills!$F$20=1),Skills!$B$9&amp;", ","")&amp;IF(AND(BC183=1,Skills!$G$20=1),Skills!$B$10&amp;", ","")&amp;IF(AND(BD183=1,Skills!$H$20=1),Skills!$B$11&amp;", ","")&amp;IF(AND(BE183=1,Skills!$I$20=1),Skills!$B$12&amp;", ","")&amp;IF(AND(BF183=1,Skills!$J$20=1),Skills!$B$13&amp;", ","")&amp;IF(AND(BG183=1,Skills!$K$20=1),Skills!$B$14&amp;", ","")&amp;IF(AND(BH183=1,Skills!$L$20=1),Skills!$B$15&amp;", ","")&amp;IF(AND(BI183=1,Skills!$M$20=1),Skills!$B$16&amp;", ",""),LEN(IF(AND(AX183=1,Skills!$B$20=1),Skills!$B$5&amp;", ","")&amp;IF(AND(AY183=1,Skills!$C$20=1),Skills!$B$6&amp;", ","")&amp;IF(AND(AZ183=1,Skills!$D$20=1),Skills!$B$7&amp;", ","")&amp;IF(AND(BA183=1,Skills!$E$20=1),Skills!$B$8&amp;", ","")&amp;IF(AND(BB183=1,Skills!$F$20=1),Skills!$B$9&amp;", ","")&amp;IF(AND(BC183=1,Skills!$G$20=1),Skills!$B$10&amp;", ","")&amp;IF(AND(BD183=1,Skills!$H$20=1),Skills!$B$11&amp;", ","")&amp;IF(AND(BE183=1,Skills!$I$20=1),Skills!$B$12&amp;", ","")&amp;IF(AND(BF183=1,Skills!$J$20=1),Skills!$B$13&amp;", ","")&amp;IF(AND(BG183=1,Skills!$K$20=1),Skills!$B$14&amp;", ","")&amp;IF(AND(BH183=1,Skills!$L$20=1),Skills!$B$15&amp;", ","")&amp;IF(AND(BI183=1,Skills!$M$20=1),Skills!$B$16&amp;", ",""))-2)))</f>
        <v/>
      </c>
    </row>
    <row r="184">
      <c r="AD184" s="20" t="n"/>
      <c r="AE184" s="20" t="n"/>
      <c r="AF184" s="20" t="n"/>
      <c r="AG184" s="20" t="n"/>
      <c r="AH184" s="20" t="n"/>
      <c r="AI184" s="20" t="n"/>
      <c r="AJ184" s="20" t="n"/>
      <c r="AK184" s="20" t="n"/>
      <c r="AL184" s="20" t="n"/>
      <c r="AM184" s="20" t="n"/>
      <c r="AN184" s="20" t="n"/>
      <c r="AO184" s="20" t="n"/>
      <c r="AP184" s="20" t="n"/>
      <c r="AR184" s="31">
        <f>IF(IFERROR(TRIM(INDEX($A184:$AB184,MATCH(Lists!$B$5,$A$1:$AB$1,0))&amp;""),"")&lt;&gt;"",IFERROR(TRIM(INDEX($A184:$AB184,MATCH(Lists!$B$5,$A$1:$AB$1,0))&amp;""),""),IFERROR(TRIM(INDEX($A184:$AB184,MATCH(Lists!$B$3,$A$1:$AB$1,0))&amp;""),""))</f>
        <v/>
      </c>
      <c r="AS184" s="31">
        <f>IF(AR184="","",IF(IFERROR(TRIM(INDEX($A184:$AB184,MATCH(Lists!$B$5,$A$1:$AB$1,0))&amp;""),"")&lt;&gt;"","Nominated","Applied"))</f>
        <v/>
      </c>
      <c r="AT184" s="31">
        <f>IF(AR184="","",IF(IFERROR(TRIM(INDEX($A184:$AB184,MATCH(Lists!$B$5,$A$1:$AB$1,0))&amp;""),"")&lt;&gt;"",IFERROR(TRIM(INDEX($A184:$AB184,MATCH(Lists!$B$6,$A$1:$AB$1,0))&amp;""),""),IFERROR(TRIM(INDEX($A184:$AB184,MATCH(Lists!$B$4,$A$1:$AB$1,0))&amp;""),"")))</f>
        <v/>
      </c>
      <c r="AU184" s="31">
        <f>IF(AR184="","",IFERROR(TRIM(INDEX($A184:$AB184,MATCH(Lists!$B$7,$A$1:$AB$1,0))&amp;""),""))</f>
        <v/>
      </c>
      <c r="AV184" s="31">
        <f>IF(AR184="","",IFERROR(TRIM(INDEX($A184:$AB184,MATCH(Lists!$B$9,$A$1:$AB$1,0))&amp;""),""))</f>
        <v/>
      </c>
      <c r="AW184" s="31">
        <f>IF(AR184="","",IFERROR(TRIM(INDEX($A184:$AB184,MATCH(Lists!$B$8,$A$1:$AB$1,0))&amp;""),""))</f>
        <v/>
      </c>
      <c r="AX184" s="23">
        <f>IF(AR184="","",IF(OR(TRIM(AE184&amp;"")&lt;&gt;"",AND(Skills!$B$5&lt;&gt;"",ISNUMBER(SEARCH(Skills!$B$5,AU184)))),1,0))</f>
        <v/>
      </c>
      <c r="AY184" s="23">
        <f>IF(AR184="","",IF(OR(TRIM(AF184&amp;"")&lt;&gt;"",AND(Skills!$B$6&lt;&gt;"",ISNUMBER(SEARCH(Skills!$B$6,AU184)))),1,0))</f>
        <v/>
      </c>
      <c r="AZ184" s="23">
        <f>IF(AR184="","",IF(OR(TRIM(AG184&amp;"")&lt;&gt;"",AND(Skills!$B$7&lt;&gt;"",ISNUMBER(SEARCH(Skills!$B$7,AU184)))),1,0))</f>
        <v/>
      </c>
      <c r="BA184" s="23">
        <f>IF(AR184="","",IF(OR(TRIM(AH184&amp;"")&lt;&gt;"",AND(Skills!$B$8&lt;&gt;"",ISNUMBER(SEARCH(Skills!$B$8,AU184)))),1,0))</f>
        <v/>
      </c>
      <c r="BB184" s="23">
        <f>IF(AR184="","",IF(OR(TRIM(AI184&amp;"")&lt;&gt;"",AND(Skills!$B$9&lt;&gt;"",ISNUMBER(SEARCH(Skills!$B$9,AU184)))),1,0))</f>
        <v/>
      </c>
      <c r="BC184" s="23">
        <f>IF(AR184="","",IF(OR(TRIM(AJ184&amp;"")&lt;&gt;"",AND(Skills!$B$10&lt;&gt;"",ISNUMBER(SEARCH(Skills!$B$10,AU184)))),1,0))</f>
        <v/>
      </c>
      <c r="BD184" s="23">
        <f>IF(AR184="","",IF(OR(TRIM(AK184&amp;"")&lt;&gt;"",AND(Skills!$B$11&lt;&gt;"",ISNUMBER(SEARCH(Skills!$B$11,AU184)))),1,0))</f>
        <v/>
      </c>
      <c r="BE184" s="23">
        <f>IF(AR184="","",IF(OR(TRIM(AL184&amp;"")&lt;&gt;"",AND(Skills!$B$12&lt;&gt;"",ISNUMBER(SEARCH(Skills!$B$12,AU184)))),1,0))</f>
        <v/>
      </c>
      <c r="BF184" s="23">
        <f>IF(AR184="","",IF(OR(TRIM(AM184&amp;"")&lt;&gt;"",AND(Skills!$B$13&lt;&gt;"",ISNUMBER(SEARCH(Skills!$B$13,AU184)))),1,0))</f>
        <v/>
      </c>
      <c r="BG184" s="23">
        <f>IF(AR184="","",IF(OR(TRIM(AN184&amp;"")&lt;&gt;"",AND(Skills!$B$14&lt;&gt;"",ISNUMBER(SEARCH(Skills!$B$14,AU184)))),1,0))</f>
        <v/>
      </c>
      <c r="BH184" s="23">
        <f>IF(AR184="","",IF(OR(TRIM(AO184&amp;"")&lt;&gt;"",AND(Skills!$B$15&lt;&gt;"",ISNUMBER(SEARCH(Skills!$B$15,AU184)))),1,0))</f>
        <v/>
      </c>
      <c r="BI184" s="23">
        <f>IF(AR184="","",IF(OR(TRIM(AP184&amp;"")&lt;&gt;"",AND(Skills!$B$16&lt;&gt;"",ISNUMBER(SEARCH(Skills!$B$16,AU184)))),1,0))</f>
        <v/>
      </c>
      <c r="BJ184" s="23">
        <f>IF(AR184="","",SUMPRODUCT($AX184:$BI184,Skills!$B$20:$M$20))</f>
        <v/>
      </c>
      <c r="BK184" s="23">
        <f>IF(AR184="","",BJ184*100000+(100000-ROW()))</f>
        <v/>
      </c>
      <c r="BL184" s="31">
        <f>IF(AR184="","",IF((IF(AND(AX184=1,Skills!$B$20=1),Skills!$B$5&amp;", ","")&amp;IF(AND(AY184=1,Skills!$C$20=1),Skills!$B$6&amp;", ","")&amp;IF(AND(AZ184=1,Skills!$D$20=1),Skills!$B$7&amp;", ","")&amp;IF(AND(BA184=1,Skills!$E$20=1),Skills!$B$8&amp;", ","")&amp;IF(AND(BB184=1,Skills!$F$20=1),Skills!$B$9&amp;", ","")&amp;IF(AND(BC184=1,Skills!$G$20=1),Skills!$B$10&amp;", ","")&amp;IF(AND(BD184=1,Skills!$H$20=1),Skills!$B$11&amp;", ","")&amp;IF(AND(BE184=1,Skills!$I$20=1),Skills!$B$12&amp;", ","")&amp;IF(AND(BF184=1,Skills!$J$20=1),Skills!$B$13&amp;", ","")&amp;IF(AND(BG184=1,Skills!$K$20=1),Skills!$B$14&amp;", ","")&amp;IF(AND(BH184=1,Skills!$L$20=1),Skills!$B$15&amp;", ","")&amp;IF(AND(BI184=1,Skills!$M$20=1),Skills!$B$16&amp;", ",""))="","",LEFT(IF(AND(AX184=1,Skills!$B$20=1),Skills!$B$5&amp;", ","")&amp;IF(AND(AY184=1,Skills!$C$20=1),Skills!$B$6&amp;", ","")&amp;IF(AND(AZ184=1,Skills!$D$20=1),Skills!$B$7&amp;", ","")&amp;IF(AND(BA184=1,Skills!$E$20=1),Skills!$B$8&amp;", ","")&amp;IF(AND(BB184=1,Skills!$F$20=1),Skills!$B$9&amp;", ","")&amp;IF(AND(BC184=1,Skills!$G$20=1),Skills!$B$10&amp;", ","")&amp;IF(AND(BD184=1,Skills!$H$20=1),Skills!$B$11&amp;", ","")&amp;IF(AND(BE184=1,Skills!$I$20=1),Skills!$B$12&amp;", ","")&amp;IF(AND(BF184=1,Skills!$J$20=1),Skills!$B$13&amp;", ","")&amp;IF(AND(BG184=1,Skills!$K$20=1),Skills!$B$14&amp;", ","")&amp;IF(AND(BH184=1,Skills!$L$20=1),Skills!$B$15&amp;", ","")&amp;IF(AND(BI184=1,Skills!$M$20=1),Skills!$B$16&amp;", ",""),LEN(IF(AND(AX184=1,Skills!$B$20=1),Skills!$B$5&amp;", ","")&amp;IF(AND(AY184=1,Skills!$C$20=1),Skills!$B$6&amp;", ","")&amp;IF(AND(AZ184=1,Skills!$D$20=1),Skills!$B$7&amp;", ","")&amp;IF(AND(BA184=1,Skills!$E$20=1),Skills!$B$8&amp;", ","")&amp;IF(AND(BB184=1,Skills!$F$20=1),Skills!$B$9&amp;", ","")&amp;IF(AND(BC184=1,Skills!$G$20=1),Skills!$B$10&amp;", ","")&amp;IF(AND(BD184=1,Skills!$H$20=1),Skills!$B$11&amp;", ","")&amp;IF(AND(BE184=1,Skills!$I$20=1),Skills!$B$12&amp;", ","")&amp;IF(AND(BF184=1,Skills!$J$20=1),Skills!$B$13&amp;", ","")&amp;IF(AND(BG184=1,Skills!$K$20=1),Skills!$B$14&amp;", ","")&amp;IF(AND(BH184=1,Skills!$L$20=1),Skills!$B$15&amp;", ","")&amp;IF(AND(BI184=1,Skills!$M$20=1),Skills!$B$16&amp;", ",""))-2)))</f>
        <v/>
      </c>
    </row>
    <row r="185">
      <c r="AD185" s="20" t="n"/>
      <c r="AE185" s="20" t="n"/>
      <c r="AF185" s="20" t="n"/>
      <c r="AG185" s="20" t="n"/>
      <c r="AH185" s="20" t="n"/>
      <c r="AI185" s="20" t="n"/>
      <c r="AJ185" s="20" t="n"/>
      <c r="AK185" s="20" t="n"/>
      <c r="AL185" s="20" t="n"/>
      <c r="AM185" s="20" t="n"/>
      <c r="AN185" s="20" t="n"/>
      <c r="AO185" s="20" t="n"/>
      <c r="AP185" s="20" t="n"/>
      <c r="AR185" s="31">
        <f>IF(IFERROR(TRIM(INDEX($A185:$AB185,MATCH(Lists!$B$5,$A$1:$AB$1,0))&amp;""),"")&lt;&gt;"",IFERROR(TRIM(INDEX($A185:$AB185,MATCH(Lists!$B$5,$A$1:$AB$1,0))&amp;""),""),IFERROR(TRIM(INDEX($A185:$AB185,MATCH(Lists!$B$3,$A$1:$AB$1,0))&amp;""),""))</f>
        <v/>
      </c>
      <c r="AS185" s="31">
        <f>IF(AR185="","",IF(IFERROR(TRIM(INDEX($A185:$AB185,MATCH(Lists!$B$5,$A$1:$AB$1,0))&amp;""),"")&lt;&gt;"","Nominated","Applied"))</f>
        <v/>
      </c>
      <c r="AT185" s="31">
        <f>IF(AR185="","",IF(IFERROR(TRIM(INDEX($A185:$AB185,MATCH(Lists!$B$5,$A$1:$AB$1,0))&amp;""),"")&lt;&gt;"",IFERROR(TRIM(INDEX($A185:$AB185,MATCH(Lists!$B$6,$A$1:$AB$1,0))&amp;""),""),IFERROR(TRIM(INDEX($A185:$AB185,MATCH(Lists!$B$4,$A$1:$AB$1,0))&amp;""),"")))</f>
        <v/>
      </c>
      <c r="AU185" s="31">
        <f>IF(AR185="","",IFERROR(TRIM(INDEX($A185:$AB185,MATCH(Lists!$B$7,$A$1:$AB$1,0))&amp;""),""))</f>
        <v/>
      </c>
      <c r="AV185" s="31">
        <f>IF(AR185="","",IFERROR(TRIM(INDEX($A185:$AB185,MATCH(Lists!$B$9,$A$1:$AB$1,0))&amp;""),""))</f>
        <v/>
      </c>
      <c r="AW185" s="31">
        <f>IF(AR185="","",IFERROR(TRIM(INDEX($A185:$AB185,MATCH(Lists!$B$8,$A$1:$AB$1,0))&amp;""),""))</f>
        <v/>
      </c>
      <c r="AX185" s="23">
        <f>IF(AR185="","",IF(OR(TRIM(AE185&amp;"")&lt;&gt;"",AND(Skills!$B$5&lt;&gt;"",ISNUMBER(SEARCH(Skills!$B$5,AU185)))),1,0))</f>
        <v/>
      </c>
      <c r="AY185" s="23">
        <f>IF(AR185="","",IF(OR(TRIM(AF185&amp;"")&lt;&gt;"",AND(Skills!$B$6&lt;&gt;"",ISNUMBER(SEARCH(Skills!$B$6,AU185)))),1,0))</f>
        <v/>
      </c>
      <c r="AZ185" s="23">
        <f>IF(AR185="","",IF(OR(TRIM(AG185&amp;"")&lt;&gt;"",AND(Skills!$B$7&lt;&gt;"",ISNUMBER(SEARCH(Skills!$B$7,AU185)))),1,0))</f>
        <v/>
      </c>
      <c r="BA185" s="23">
        <f>IF(AR185="","",IF(OR(TRIM(AH185&amp;"")&lt;&gt;"",AND(Skills!$B$8&lt;&gt;"",ISNUMBER(SEARCH(Skills!$B$8,AU185)))),1,0))</f>
        <v/>
      </c>
      <c r="BB185" s="23">
        <f>IF(AR185="","",IF(OR(TRIM(AI185&amp;"")&lt;&gt;"",AND(Skills!$B$9&lt;&gt;"",ISNUMBER(SEARCH(Skills!$B$9,AU185)))),1,0))</f>
        <v/>
      </c>
      <c r="BC185" s="23">
        <f>IF(AR185="","",IF(OR(TRIM(AJ185&amp;"")&lt;&gt;"",AND(Skills!$B$10&lt;&gt;"",ISNUMBER(SEARCH(Skills!$B$10,AU185)))),1,0))</f>
        <v/>
      </c>
      <c r="BD185" s="23">
        <f>IF(AR185="","",IF(OR(TRIM(AK185&amp;"")&lt;&gt;"",AND(Skills!$B$11&lt;&gt;"",ISNUMBER(SEARCH(Skills!$B$11,AU185)))),1,0))</f>
        <v/>
      </c>
      <c r="BE185" s="23">
        <f>IF(AR185="","",IF(OR(TRIM(AL185&amp;"")&lt;&gt;"",AND(Skills!$B$12&lt;&gt;"",ISNUMBER(SEARCH(Skills!$B$12,AU185)))),1,0))</f>
        <v/>
      </c>
      <c r="BF185" s="23">
        <f>IF(AR185="","",IF(OR(TRIM(AM185&amp;"")&lt;&gt;"",AND(Skills!$B$13&lt;&gt;"",ISNUMBER(SEARCH(Skills!$B$13,AU185)))),1,0))</f>
        <v/>
      </c>
      <c r="BG185" s="23">
        <f>IF(AR185="","",IF(OR(TRIM(AN185&amp;"")&lt;&gt;"",AND(Skills!$B$14&lt;&gt;"",ISNUMBER(SEARCH(Skills!$B$14,AU185)))),1,0))</f>
        <v/>
      </c>
      <c r="BH185" s="23">
        <f>IF(AR185="","",IF(OR(TRIM(AO185&amp;"")&lt;&gt;"",AND(Skills!$B$15&lt;&gt;"",ISNUMBER(SEARCH(Skills!$B$15,AU185)))),1,0))</f>
        <v/>
      </c>
      <c r="BI185" s="23">
        <f>IF(AR185="","",IF(OR(TRIM(AP185&amp;"")&lt;&gt;"",AND(Skills!$B$16&lt;&gt;"",ISNUMBER(SEARCH(Skills!$B$16,AU185)))),1,0))</f>
        <v/>
      </c>
      <c r="BJ185" s="23">
        <f>IF(AR185="","",SUMPRODUCT($AX185:$BI185,Skills!$B$20:$M$20))</f>
        <v/>
      </c>
      <c r="BK185" s="23">
        <f>IF(AR185="","",BJ185*100000+(100000-ROW()))</f>
        <v/>
      </c>
      <c r="BL185" s="31">
        <f>IF(AR185="","",IF((IF(AND(AX185=1,Skills!$B$20=1),Skills!$B$5&amp;", ","")&amp;IF(AND(AY185=1,Skills!$C$20=1),Skills!$B$6&amp;", ","")&amp;IF(AND(AZ185=1,Skills!$D$20=1),Skills!$B$7&amp;", ","")&amp;IF(AND(BA185=1,Skills!$E$20=1),Skills!$B$8&amp;", ","")&amp;IF(AND(BB185=1,Skills!$F$20=1),Skills!$B$9&amp;", ","")&amp;IF(AND(BC185=1,Skills!$G$20=1),Skills!$B$10&amp;", ","")&amp;IF(AND(BD185=1,Skills!$H$20=1),Skills!$B$11&amp;", ","")&amp;IF(AND(BE185=1,Skills!$I$20=1),Skills!$B$12&amp;", ","")&amp;IF(AND(BF185=1,Skills!$J$20=1),Skills!$B$13&amp;", ","")&amp;IF(AND(BG185=1,Skills!$K$20=1),Skills!$B$14&amp;", ","")&amp;IF(AND(BH185=1,Skills!$L$20=1),Skills!$B$15&amp;", ","")&amp;IF(AND(BI185=1,Skills!$M$20=1),Skills!$B$16&amp;", ",""))="","",LEFT(IF(AND(AX185=1,Skills!$B$20=1),Skills!$B$5&amp;", ","")&amp;IF(AND(AY185=1,Skills!$C$20=1),Skills!$B$6&amp;", ","")&amp;IF(AND(AZ185=1,Skills!$D$20=1),Skills!$B$7&amp;", ","")&amp;IF(AND(BA185=1,Skills!$E$20=1),Skills!$B$8&amp;", ","")&amp;IF(AND(BB185=1,Skills!$F$20=1),Skills!$B$9&amp;", ","")&amp;IF(AND(BC185=1,Skills!$G$20=1),Skills!$B$10&amp;", ","")&amp;IF(AND(BD185=1,Skills!$H$20=1),Skills!$B$11&amp;", ","")&amp;IF(AND(BE185=1,Skills!$I$20=1),Skills!$B$12&amp;", ","")&amp;IF(AND(BF185=1,Skills!$J$20=1),Skills!$B$13&amp;", ","")&amp;IF(AND(BG185=1,Skills!$K$20=1),Skills!$B$14&amp;", ","")&amp;IF(AND(BH185=1,Skills!$L$20=1),Skills!$B$15&amp;", ","")&amp;IF(AND(BI185=1,Skills!$M$20=1),Skills!$B$16&amp;", ",""),LEN(IF(AND(AX185=1,Skills!$B$20=1),Skills!$B$5&amp;", ","")&amp;IF(AND(AY185=1,Skills!$C$20=1),Skills!$B$6&amp;", ","")&amp;IF(AND(AZ185=1,Skills!$D$20=1),Skills!$B$7&amp;", ","")&amp;IF(AND(BA185=1,Skills!$E$20=1),Skills!$B$8&amp;", ","")&amp;IF(AND(BB185=1,Skills!$F$20=1),Skills!$B$9&amp;", ","")&amp;IF(AND(BC185=1,Skills!$G$20=1),Skills!$B$10&amp;", ","")&amp;IF(AND(BD185=1,Skills!$H$20=1),Skills!$B$11&amp;", ","")&amp;IF(AND(BE185=1,Skills!$I$20=1),Skills!$B$12&amp;", ","")&amp;IF(AND(BF185=1,Skills!$J$20=1),Skills!$B$13&amp;", ","")&amp;IF(AND(BG185=1,Skills!$K$20=1),Skills!$B$14&amp;", ","")&amp;IF(AND(BH185=1,Skills!$L$20=1),Skills!$B$15&amp;", ","")&amp;IF(AND(BI185=1,Skills!$M$20=1),Skills!$B$16&amp;", ",""))-2)))</f>
        <v/>
      </c>
    </row>
    <row r="186">
      <c r="AD186" s="20" t="n"/>
      <c r="AE186" s="20" t="n"/>
      <c r="AF186" s="20" t="n"/>
      <c r="AG186" s="20" t="n"/>
      <c r="AH186" s="20" t="n"/>
      <c r="AI186" s="20" t="n"/>
      <c r="AJ186" s="20" t="n"/>
      <c r="AK186" s="20" t="n"/>
      <c r="AL186" s="20" t="n"/>
      <c r="AM186" s="20" t="n"/>
      <c r="AN186" s="20" t="n"/>
      <c r="AO186" s="20" t="n"/>
      <c r="AP186" s="20" t="n"/>
      <c r="AR186" s="31">
        <f>IF(IFERROR(TRIM(INDEX($A186:$AB186,MATCH(Lists!$B$5,$A$1:$AB$1,0))&amp;""),"")&lt;&gt;"",IFERROR(TRIM(INDEX($A186:$AB186,MATCH(Lists!$B$5,$A$1:$AB$1,0))&amp;""),""),IFERROR(TRIM(INDEX($A186:$AB186,MATCH(Lists!$B$3,$A$1:$AB$1,0))&amp;""),""))</f>
        <v/>
      </c>
      <c r="AS186" s="31">
        <f>IF(AR186="","",IF(IFERROR(TRIM(INDEX($A186:$AB186,MATCH(Lists!$B$5,$A$1:$AB$1,0))&amp;""),"")&lt;&gt;"","Nominated","Applied"))</f>
        <v/>
      </c>
      <c r="AT186" s="31">
        <f>IF(AR186="","",IF(IFERROR(TRIM(INDEX($A186:$AB186,MATCH(Lists!$B$5,$A$1:$AB$1,0))&amp;""),"")&lt;&gt;"",IFERROR(TRIM(INDEX($A186:$AB186,MATCH(Lists!$B$6,$A$1:$AB$1,0))&amp;""),""),IFERROR(TRIM(INDEX($A186:$AB186,MATCH(Lists!$B$4,$A$1:$AB$1,0))&amp;""),"")))</f>
        <v/>
      </c>
      <c r="AU186" s="31">
        <f>IF(AR186="","",IFERROR(TRIM(INDEX($A186:$AB186,MATCH(Lists!$B$7,$A$1:$AB$1,0))&amp;""),""))</f>
        <v/>
      </c>
      <c r="AV186" s="31">
        <f>IF(AR186="","",IFERROR(TRIM(INDEX($A186:$AB186,MATCH(Lists!$B$9,$A$1:$AB$1,0))&amp;""),""))</f>
        <v/>
      </c>
      <c r="AW186" s="31">
        <f>IF(AR186="","",IFERROR(TRIM(INDEX($A186:$AB186,MATCH(Lists!$B$8,$A$1:$AB$1,0))&amp;""),""))</f>
        <v/>
      </c>
      <c r="AX186" s="23">
        <f>IF(AR186="","",IF(OR(TRIM(AE186&amp;"")&lt;&gt;"",AND(Skills!$B$5&lt;&gt;"",ISNUMBER(SEARCH(Skills!$B$5,AU186)))),1,0))</f>
        <v/>
      </c>
      <c r="AY186" s="23">
        <f>IF(AR186="","",IF(OR(TRIM(AF186&amp;"")&lt;&gt;"",AND(Skills!$B$6&lt;&gt;"",ISNUMBER(SEARCH(Skills!$B$6,AU186)))),1,0))</f>
        <v/>
      </c>
      <c r="AZ186" s="23">
        <f>IF(AR186="","",IF(OR(TRIM(AG186&amp;"")&lt;&gt;"",AND(Skills!$B$7&lt;&gt;"",ISNUMBER(SEARCH(Skills!$B$7,AU186)))),1,0))</f>
        <v/>
      </c>
      <c r="BA186" s="23">
        <f>IF(AR186="","",IF(OR(TRIM(AH186&amp;"")&lt;&gt;"",AND(Skills!$B$8&lt;&gt;"",ISNUMBER(SEARCH(Skills!$B$8,AU186)))),1,0))</f>
        <v/>
      </c>
      <c r="BB186" s="23">
        <f>IF(AR186="","",IF(OR(TRIM(AI186&amp;"")&lt;&gt;"",AND(Skills!$B$9&lt;&gt;"",ISNUMBER(SEARCH(Skills!$B$9,AU186)))),1,0))</f>
        <v/>
      </c>
      <c r="BC186" s="23">
        <f>IF(AR186="","",IF(OR(TRIM(AJ186&amp;"")&lt;&gt;"",AND(Skills!$B$10&lt;&gt;"",ISNUMBER(SEARCH(Skills!$B$10,AU186)))),1,0))</f>
        <v/>
      </c>
      <c r="BD186" s="23">
        <f>IF(AR186="","",IF(OR(TRIM(AK186&amp;"")&lt;&gt;"",AND(Skills!$B$11&lt;&gt;"",ISNUMBER(SEARCH(Skills!$B$11,AU186)))),1,0))</f>
        <v/>
      </c>
      <c r="BE186" s="23">
        <f>IF(AR186="","",IF(OR(TRIM(AL186&amp;"")&lt;&gt;"",AND(Skills!$B$12&lt;&gt;"",ISNUMBER(SEARCH(Skills!$B$12,AU186)))),1,0))</f>
        <v/>
      </c>
      <c r="BF186" s="23">
        <f>IF(AR186="","",IF(OR(TRIM(AM186&amp;"")&lt;&gt;"",AND(Skills!$B$13&lt;&gt;"",ISNUMBER(SEARCH(Skills!$B$13,AU186)))),1,0))</f>
        <v/>
      </c>
      <c r="BG186" s="23">
        <f>IF(AR186="","",IF(OR(TRIM(AN186&amp;"")&lt;&gt;"",AND(Skills!$B$14&lt;&gt;"",ISNUMBER(SEARCH(Skills!$B$14,AU186)))),1,0))</f>
        <v/>
      </c>
      <c r="BH186" s="23">
        <f>IF(AR186="","",IF(OR(TRIM(AO186&amp;"")&lt;&gt;"",AND(Skills!$B$15&lt;&gt;"",ISNUMBER(SEARCH(Skills!$B$15,AU186)))),1,0))</f>
        <v/>
      </c>
      <c r="BI186" s="23">
        <f>IF(AR186="","",IF(OR(TRIM(AP186&amp;"")&lt;&gt;"",AND(Skills!$B$16&lt;&gt;"",ISNUMBER(SEARCH(Skills!$B$16,AU186)))),1,0))</f>
        <v/>
      </c>
      <c r="BJ186" s="23">
        <f>IF(AR186="","",SUMPRODUCT($AX186:$BI186,Skills!$B$20:$M$20))</f>
        <v/>
      </c>
      <c r="BK186" s="23">
        <f>IF(AR186="","",BJ186*100000+(100000-ROW()))</f>
        <v/>
      </c>
      <c r="BL186" s="31">
        <f>IF(AR186="","",IF((IF(AND(AX186=1,Skills!$B$20=1),Skills!$B$5&amp;", ","")&amp;IF(AND(AY186=1,Skills!$C$20=1),Skills!$B$6&amp;", ","")&amp;IF(AND(AZ186=1,Skills!$D$20=1),Skills!$B$7&amp;", ","")&amp;IF(AND(BA186=1,Skills!$E$20=1),Skills!$B$8&amp;", ","")&amp;IF(AND(BB186=1,Skills!$F$20=1),Skills!$B$9&amp;", ","")&amp;IF(AND(BC186=1,Skills!$G$20=1),Skills!$B$10&amp;", ","")&amp;IF(AND(BD186=1,Skills!$H$20=1),Skills!$B$11&amp;", ","")&amp;IF(AND(BE186=1,Skills!$I$20=1),Skills!$B$12&amp;", ","")&amp;IF(AND(BF186=1,Skills!$J$20=1),Skills!$B$13&amp;", ","")&amp;IF(AND(BG186=1,Skills!$K$20=1),Skills!$B$14&amp;", ","")&amp;IF(AND(BH186=1,Skills!$L$20=1),Skills!$B$15&amp;", ","")&amp;IF(AND(BI186=1,Skills!$M$20=1),Skills!$B$16&amp;", ",""))="","",LEFT(IF(AND(AX186=1,Skills!$B$20=1),Skills!$B$5&amp;", ","")&amp;IF(AND(AY186=1,Skills!$C$20=1),Skills!$B$6&amp;", ","")&amp;IF(AND(AZ186=1,Skills!$D$20=1),Skills!$B$7&amp;", ","")&amp;IF(AND(BA186=1,Skills!$E$20=1),Skills!$B$8&amp;", ","")&amp;IF(AND(BB186=1,Skills!$F$20=1),Skills!$B$9&amp;", ","")&amp;IF(AND(BC186=1,Skills!$G$20=1),Skills!$B$10&amp;", ","")&amp;IF(AND(BD186=1,Skills!$H$20=1),Skills!$B$11&amp;", ","")&amp;IF(AND(BE186=1,Skills!$I$20=1),Skills!$B$12&amp;", ","")&amp;IF(AND(BF186=1,Skills!$J$20=1),Skills!$B$13&amp;", ","")&amp;IF(AND(BG186=1,Skills!$K$20=1),Skills!$B$14&amp;", ","")&amp;IF(AND(BH186=1,Skills!$L$20=1),Skills!$B$15&amp;", ","")&amp;IF(AND(BI186=1,Skills!$M$20=1),Skills!$B$16&amp;", ",""),LEN(IF(AND(AX186=1,Skills!$B$20=1),Skills!$B$5&amp;", ","")&amp;IF(AND(AY186=1,Skills!$C$20=1),Skills!$B$6&amp;", ","")&amp;IF(AND(AZ186=1,Skills!$D$20=1),Skills!$B$7&amp;", ","")&amp;IF(AND(BA186=1,Skills!$E$20=1),Skills!$B$8&amp;", ","")&amp;IF(AND(BB186=1,Skills!$F$20=1),Skills!$B$9&amp;", ","")&amp;IF(AND(BC186=1,Skills!$G$20=1),Skills!$B$10&amp;", ","")&amp;IF(AND(BD186=1,Skills!$H$20=1),Skills!$B$11&amp;", ","")&amp;IF(AND(BE186=1,Skills!$I$20=1),Skills!$B$12&amp;", ","")&amp;IF(AND(BF186=1,Skills!$J$20=1),Skills!$B$13&amp;", ","")&amp;IF(AND(BG186=1,Skills!$K$20=1),Skills!$B$14&amp;", ","")&amp;IF(AND(BH186=1,Skills!$L$20=1),Skills!$B$15&amp;", ","")&amp;IF(AND(BI186=1,Skills!$M$20=1),Skills!$B$16&amp;", ",""))-2)))</f>
        <v/>
      </c>
    </row>
    <row r="187">
      <c r="AD187" s="20" t="n"/>
      <c r="AE187" s="20" t="n"/>
      <c r="AF187" s="20" t="n"/>
      <c r="AG187" s="20" t="n"/>
      <c r="AH187" s="20" t="n"/>
      <c r="AI187" s="20" t="n"/>
      <c r="AJ187" s="20" t="n"/>
      <c r="AK187" s="20" t="n"/>
      <c r="AL187" s="20" t="n"/>
      <c r="AM187" s="20" t="n"/>
      <c r="AN187" s="20" t="n"/>
      <c r="AO187" s="20" t="n"/>
      <c r="AP187" s="20" t="n"/>
      <c r="AR187" s="31">
        <f>IF(IFERROR(TRIM(INDEX($A187:$AB187,MATCH(Lists!$B$5,$A$1:$AB$1,0))&amp;""),"")&lt;&gt;"",IFERROR(TRIM(INDEX($A187:$AB187,MATCH(Lists!$B$5,$A$1:$AB$1,0))&amp;""),""),IFERROR(TRIM(INDEX($A187:$AB187,MATCH(Lists!$B$3,$A$1:$AB$1,0))&amp;""),""))</f>
        <v/>
      </c>
      <c r="AS187" s="31">
        <f>IF(AR187="","",IF(IFERROR(TRIM(INDEX($A187:$AB187,MATCH(Lists!$B$5,$A$1:$AB$1,0))&amp;""),"")&lt;&gt;"","Nominated","Applied"))</f>
        <v/>
      </c>
      <c r="AT187" s="31">
        <f>IF(AR187="","",IF(IFERROR(TRIM(INDEX($A187:$AB187,MATCH(Lists!$B$5,$A$1:$AB$1,0))&amp;""),"")&lt;&gt;"",IFERROR(TRIM(INDEX($A187:$AB187,MATCH(Lists!$B$6,$A$1:$AB$1,0))&amp;""),""),IFERROR(TRIM(INDEX($A187:$AB187,MATCH(Lists!$B$4,$A$1:$AB$1,0))&amp;""),"")))</f>
        <v/>
      </c>
      <c r="AU187" s="31">
        <f>IF(AR187="","",IFERROR(TRIM(INDEX($A187:$AB187,MATCH(Lists!$B$7,$A$1:$AB$1,0))&amp;""),""))</f>
        <v/>
      </c>
      <c r="AV187" s="31">
        <f>IF(AR187="","",IFERROR(TRIM(INDEX($A187:$AB187,MATCH(Lists!$B$9,$A$1:$AB$1,0))&amp;""),""))</f>
        <v/>
      </c>
      <c r="AW187" s="31">
        <f>IF(AR187="","",IFERROR(TRIM(INDEX($A187:$AB187,MATCH(Lists!$B$8,$A$1:$AB$1,0))&amp;""),""))</f>
        <v/>
      </c>
      <c r="AX187" s="23">
        <f>IF(AR187="","",IF(OR(TRIM(AE187&amp;"")&lt;&gt;"",AND(Skills!$B$5&lt;&gt;"",ISNUMBER(SEARCH(Skills!$B$5,AU187)))),1,0))</f>
        <v/>
      </c>
      <c r="AY187" s="23">
        <f>IF(AR187="","",IF(OR(TRIM(AF187&amp;"")&lt;&gt;"",AND(Skills!$B$6&lt;&gt;"",ISNUMBER(SEARCH(Skills!$B$6,AU187)))),1,0))</f>
        <v/>
      </c>
      <c r="AZ187" s="23">
        <f>IF(AR187="","",IF(OR(TRIM(AG187&amp;"")&lt;&gt;"",AND(Skills!$B$7&lt;&gt;"",ISNUMBER(SEARCH(Skills!$B$7,AU187)))),1,0))</f>
        <v/>
      </c>
      <c r="BA187" s="23">
        <f>IF(AR187="","",IF(OR(TRIM(AH187&amp;"")&lt;&gt;"",AND(Skills!$B$8&lt;&gt;"",ISNUMBER(SEARCH(Skills!$B$8,AU187)))),1,0))</f>
        <v/>
      </c>
      <c r="BB187" s="23">
        <f>IF(AR187="","",IF(OR(TRIM(AI187&amp;"")&lt;&gt;"",AND(Skills!$B$9&lt;&gt;"",ISNUMBER(SEARCH(Skills!$B$9,AU187)))),1,0))</f>
        <v/>
      </c>
      <c r="BC187" s="23">
        <f>IF(AR187="","",IF(OR(TRIM(AJ187&amp;"")&lt;&gt;"",AND(Skills!$B$10&lt;&gt;"",ISNUMBER(SEARCH(Skills!$B$10,AU187)))),1,0))</f>
        <v/>
      </c>
      <c r="BD187" s="23">
        <f>IF(AR187="","",IF(OR(TRIM(AK187&amp;"")&lt;&gt;"",AND(Skills!$B$11&lt;&gt;"",ISNUMBER(SEARCH(Skills!$B$11,AU187)))),1,0))</f>
        <v/>
      </c>
      <c r="BE187" s="23">
        <f>IF(AR187="","",IF(OR(TRIM(AL187&amp;"")&lt;&gt;"",AND(Skills!$B$12&lt;&gt;"",ISNUMBER(SEARCH(Skills!$B$12,AU187)))),1,0))</f>
        <v/>
      </c>
      <c r="BF187" s="23">
        <f>IF(AR187="","",IF(OR(TRIM(AM187&amp;"")&lt;&gt;"",AND(Skills!$B$13&lt;&gt;"",ISNUMBER(SEARCH(Skills!$B$13,AU187)))),1,0))</f>
        <v/>
      </c>
      <c r="BG187" s="23">
        <f>IF(AR187="","",IF(OR(TRIM(AN187&amp;"")&lt;&gt;"",AND(Skills!$B$14&lt;&gt;"",ISNUMBER(SEARCH(Skills!$B$14,AU187)))),1,0))</f>
        <v/>
      </c>
      <c r="BH187" s="23">
        <f>IF(AR187="","",IF(OR(TRIM(AO187&amp;"")&lt;&gt;"",AND(Skills!$B$15&lt;&gt;"",ISNUMBER(SEARCH(Skills!$B$15,AU187)))),1,0))</f>
        <v/>
      </c>
      <c r="BI187" s="23">
        <f>IF(AR187="","",IF(OR(TRIM(AP187&amp;"")&lt;&gt;"",AND(Skills!$B$16&lt;&gt;"",ISNUMBER(SEARCH(Skills!$B$16,AU187)))),1,0))</f>
        <v/>
      </c>
      <c r="BJ187" s="23">
        <f>IF(AR187="","",SUMPRODUCT($AX187:$BI187,Skills!$B$20:$M$20))</f>
        <v/>
      </c>
      <c r="BK187" s="23">
        <f>IF(AR187="","",BJ187*100000+(100000-ROW()))</f>
        <v/>
      </c>
      <c r="BL187" s="31">
        <f>IF(AR187="","",IF((IF(AND(AX187=1,Skills!$B$20=1),Skills!$B$5&amp;", ","")&amp;IF(AND(AY187=1,Skills!$C$20=1),Skills!$B$6&amp;", ","")&amp;IF(AND(AZ187=1,Skills!$D$20=1),Skills!$B$7&amp;", ","")&amp;IF(AND(BA187=1,Skills!$E$20=1),Skills!$B$8&amp;", ","")&amp;IF(AND(BB187=1,Skills!$F$20=1),Skills!$B$9&amp;", ","")&amp;IF(AND(BC187=1,Skills!$G$20=1),Skills!$B$10&amp;", ","")&amp;IF(AND(BD187=1,Skills!$H$20=1),Skills!$B$11&amp;", ","")&amp;IF(AND(BE187=1,Skills!$I$20=1),Skills!$B$12&amp;", ","")&amp;IF(AND(BF187=1,Skills!$J$20=1),Skills!$B$13&amp;", ","")&amp;IF(AND(BG187=1,Skills!$K$20=1),Skills!$B$14&amp;", ","")&amp;IF(AND(BH187=1,Skills!$L$20=1),Skills!$B$15&amp;", ","")&amp;IF(AND(BI187=1,Skills!$M$20=1),Skills!$B$16&amp;", ",""))="","",LEFT(IF(AND(AX187=1,Skills!$B$20=1),Skills!$B$5&amp;", ","")&amp;IF(AND(AY187=1,Skills!$C$20=1),Skills!$B$6&amp;", ","")&amp;IF(AND(AZ187=1,Skills!$D$20=1),Skills!$B$7&amp;", ","")&amp;IF(AND(BA187=1,Skills!$E$20=1),Skills!$B$8&amp;", ","")&amp;IF(AND(BB187=1,Skills!$F$20=1),Skills!$B$9&amp;", ","")&amp;IF(AND(BC187=1,Skills!$G$20=1),Skills!$B$10&amp;", ","")&amp;IF(AND(BD187=1,Skills!$H$20=1),Skills!$B$11&amp;", ","")&amp;IF(AND(BE187=1,Skills!$I$20=1),Skills!$B$12&amp;", ","")&amp;IF(AND(BF187=1,Skills!$J$20=1),Skills!$B$13&amp;", ","")&amp;IF(AND(BG187=1,Skills!$K$20=1),Skills!$B$14&amp;", ","")&amp;IF(AND(BH187=1,Skills!$L$20=1),Skills!$B$15&amp;", ","")&amp;IF(AND(BI187=1,Skills!$M$20=1),Skills!$B$16&amp;", ",""),LEN(IF(AND(AX187=1,Skills!$B$20=1),Skills!$B$5&amp;", ","")&amp;IF(AND(AY187=1,Skills!$C$20=1),Skills!$B$6&amp;", ","")&amp;IF(AND(AZ187=1,Skills!$D$20=1),Skills!$B$7&amp;", ","")&amp;IF(AND(BA187=1,Skills!$E$20=1),Skills!$B$8&amp;", ","")&amp;IF(AND(BB187=1,Skills!$F$20=1),Skills!$B$9&amp;", ","")&amp;IF(AND(BC187=1,Skills!$G$20=1),Skills!$B$10&amp;", ","")&amp;IF(AND(BD187=1,Skills!$H$20=1),Skills!$B$11&amp;", ","")&amp;IF(AND(BE187=1,Skills!$I$20=1),Skills!$B$12&amp;", ","")&amp;IF(AND(BF187=1,Skills!$J$20=1),Skills!$B$13&amp;", ","")&amp;IF(AND(BG187=1,Skills!$K$20=1),Skills!$B$14&amp;", ","")&amp;IF(AND(BH187=1,Skills!$L$20=1),Skills!$B$15&amp;", ","")&amp;IF(AND(BI187=1,Skills!$M$20=1),Skills!$B$16&amp;", ",""))-2)))</f>
        <v/>
      </c>
    </row>
    <row r="188">
      <c r="AD188" s="20" t="n"/>
      <c r="AE188" s="20" t="n"/>
      <c r="AF188" s="20" t="n"/>
      <c r="AG188" s="20" t="n"/>
      <c r="AH188" s="20" t="n"/>
      <c r="AI188" s="20" t="n"/>
      <c r="AJ188" s="20" t="n"/>
      <c r="AK188" s="20" t="n"/>
      <c r="AL188" s="20" t="n"/>
      <c r="AM188" s="20" t="n"/>
      <c r="AN188" s="20" t="n"/>
      <c r="AO188" s="20" t="n"/>
      <c r="AP188" s="20" t="n"/>
      <c r="AR188" s="31">
        <f>IF(IFERROR(TRIM(INDEX($A188:$AB188,MATCH(Lists!$B$5,$A$1:$AB$1,0))&amp;""),"")&lt;&gt;"",IFERROR(TRIM(INDEX($A188:$AB188,MATCH(Lists!$B$5,$A$1:$AB$1,0))&amp;""),""),IFERROR(TRIM(INDEX($A188:$AB188,MATCH(Lists!$B$3,$A$1:$AB$1,0))&amp;""),""))</f>
        <v/>
      </c>
      <c r="AS188" s="31">
        <f>IF(AR188="","",IF(IFERROR(TRIM(INDEX($A188:$AB188,MATCH(Lists!$B$5,$A$1:$AB$1,0))&amp;""),"")&lt;&gt;"","Nominated","Applied"))</f>
        <v/>
      </c>
      <c r="AT188" s="31">
        <f>IF(AR188="","",IF(IFERROR(TRIM(INDEX($A188:$AB188,MATCH(Lists!$B$5,$A$1:$AB$1,0))&amp;""),"")&lt;&gt;"",IFERROR(TRIM(INDEX($A188:$AB188,MATCH(Lists!$B$6,$A$1:$AB$1,0))&amp;""),""),IFERROR(TRIM(INDEX($A188:$AB188,MATCH(Lists!$B$4,$A$1:$AB$1,0))&amp;""),"")))</f>
        <v/>
      </c>
      <c r="AU188" s="31">
        <f>IF(AR188="","",IFERROR(TRIM(INDEX($A188:$AB188,MATCH(Lists!$B$7,$A$1:$AB$1,0))&amp;""),""))</f>
        <v/>
      </c>
      <c r="AV188" s="31">
        <f>IF(AR188="","",IFERROR(TRIM(INDEX($A188:$AB188,MATCH(Lists!$B$9,$A$1:$AB$1,0))&amp;""),""))</f>
        <v/>
      </c>
      <c r="AW188" s="31">
        <f>IF(AR188="","",IFERROR(TRIM(INDEX($A188:$AB188,MATCH(Lists!$B$8,$A$1:$AB$1,0))&amp;""),""))</f>
        <v/>
      </c>
      <c r="AX188" s="23">
        <f>IF(AR188="","",IF(OR(TRIM(AE188&amp;"")&lt;&gt;"",AND(Skills!$B$5&lt;&gt;"",ISNUMBER(SEARCH(Skills!$B$5,AU188)))),1,0))</f>
        <v/>
      </c>
      <c r="AY188" s="23">
        <f>IF(AR188="","",IF(OR(TRIM(AF188&amp;"")&lt;&gt;"",AND(Skills!$B$6&lt;&gt;"",ISNUMBER(SEARCH(Skills!$B$6,AU188)))),1,0))</f>
        <v/>
      </c>
      <c r="AZ188" s="23">
        <f>IF(AR188="","",IF(OR(TRIM(AG188&amp;"")&lt;&gt;"",AND(Skills!$B$7&lt;&gt;"",ISNUMBER(SEARCH(Skills!$B$7,AU188)))),1,0))</f>
        <v/>
      </c>
      <c r="BA188" s="23">
        <f>IF(AR188="","",IF(OR(TRIM(AH188&amp;"")&lt;&gt;"",AND(Skills!$B$8&lt;&gt;"",ISNUMBER(SEARCH(Skills!$B$8,AU188)))),1,0))</f>
        <v/>
      </c>
      <c r="BB188" s="23">
        <f>IF(AR188="","",IF(OR(TRIM(AI188&amp;"")&lt;&gt;"",AND(Skills!$B$9&lt;&gt;"",ISNUMBER(SEARCH(Skills!$B$9,AU188)))),1,0))</f>
        <v/>
      </c>
      <c r="BC188" s="23">
        <f>IF(AR188="","",IF(OR(TRIM(AJ188&amp;"")&lt;&gt;"",AND(Skills!$B$10&lt;&gt;"",ISNUMBER(SEARCH(Skills!$B$10,AU188)))),1,0))</f>
        <v/>
      </c>
      <c r="BD188" s="23">
        <f>IF(AR188="","",IF(OR(TRIM(AK188&amp;"")&lt;&gt;"",AND(Skills!$B$11&lt;&gt;"",ISNUMBER(SEARCH(Skills!$B$11,AU188)))),1,0))</f>
        <v/>
      </c>
      <c r="BE188" s="23">
        <f>IF(AR188="","",IF(OR(TRIM(AL188&amp;"")&lt;&gt;"",AND(Skills!$B$12&lt;&gt;"",ISNUMBER(SEARCH(Skills!$B$12,AU188)))),1,0))</f>
        <v/>
      </c>
      <c r="BF188" s="23">
        <f>IF(AR188="","",IF(OR(TRIM(AM188&amp;"")&lt;&gt;"",AND(Skills!$B$13&lt;&gt;"",ISNUMBER(SEARCH(Skills!$B$13,AU188)))),1,0))</f>
        <v/>
      </c>
      <c r="BG188" s="23">
        <f>IF(AR188="","",IF(OR(TRIM(AN188&amp;"")&lt;&gt;"",AND(Skills!$B$14&lt;&gt;"",ISNUMBER(SEARCH(Skills!$B$14,AU188)))),1,0))</f>
        <v/>
      </c>
      <c r="BH188" s="23">
        <f>IF(AR188="","",IF(OR(TRIM(AO188&amp;"")&lt;&gt;"",AND(Skills!$B$15&lt;&gt;"",ISNUMBER(SEARCH(Skills!$B$15,AU188)))),1,0))</f>
        <v/>
      </c>
      <c r="BI188" s="23">
        <f>IF(AR188="","",IF(OR(TRIM(AP188&amp;"")&lt;&gt;"",AND(Skills!$B$16&lt;&gt;"",ISNUMBER(SEARCH(Skills!$B$16,AU188)))),1,0))</f>
        <v/>
      </c>
      <c r="BJ188" s="23">
        <f>IF(AR188="","",SUMPRODUCT($AX188:$BI188,Skills!$B$20:$M$20))</f>
        <v/>
      </c>
      <c r="BK188" s="23">
        <f>IF(AR188="","",BJ188*100000+(100000-ROW()))</f>
        <v/>
      </c>
      <c r="BL188" s="31">
        <f>IF(AR188="","",IF((IF(AND(AX188=1,Skills!$B$20=1),Skills!$B$5&amp;", ","")&amp;IF(AND(AY188=1,Skills!$C$20=1),Skills!$B$6&amp;", ","")&amp;IF(AND(AZ188=1,Skills!$D$20=1),Skills!$B$7&amp;", ","")&amp;IF(AND(BA188=1,Skills!$E$20=1),Skills!$B$8&amp;", ","")&amp;IF(AND(BB188=1,Skills!$F$20=1),Skills!$B$9&amp;", ","")&amp;IF(AND(BC188=1,Skills!$G$20=1),Skills!$B$10&amp;", ","")&amp;IF(AND(BD188=1,Skills!$H$20=1),Skills!$B$11&amp;", ","")&amp;IF(AND(BE188=1,Skills!$I$20=1),Skills!$B$12&amp;", ","")&amp;IF(AND(BF188=1,Skills!$J$20=1),Skills!$B$13&amp;", ","")&amp;IF(AND(BG188=1,Skills!$K$20=1),Skills!$B$14&amp;", ","")&amp;IF(AND(BH188=1,Skills!$L$20=1),Skills!$B$15&amp;", ","")&amp;IF(AND(BI188=1,Skills!$M$20=1),Skills!$B$16&amp;", ",""))="","",LEFT(IF(AND(AX188=1,Skills!$B$20=1),Skills!$B$5&amp;", ","")&amp;IF(AND(AY188=1,Skills!$C$20=1),Skills!$B$6&amp;", ","")&amp;IF(AND(AZ188=1,Skills!$D$20=1),Skills!$B$7&amp;", ","")&amp;IF(AND(BA188=1,Skills!$E$20=1),Skills!$B$8&amp;", ","")&amp;IF(AND(BB188=1,Skills!$F$20=1),Skills!$B$9&amp;", ","")&amp;IF(AND(BC188=1,Skills!$G$20=1),Skills!$B$10&amp;", ","")&amp;IF(AND(BD188=1,Skills!$H$20=1),Skills!$B$11&amp;", ","")&amp;IF(AND(BE188=1,Skills!$I$20=1),Skills!$B$12&amp;", ","")&amp;IF(AND(BF188=1,Skills!$J$20=1),Skills!$B$13&amp;", ","")&amp;IF(AND(BG188=1,Skills!$K$20=1),Skills!$B$14&amp;", ","")&amp;IF(AND(BH188=1,Skills!$L$20=1),Skills!$B$15&amp;", ","")&amp;IF(AND(BI188=1,Skills!$M$20=1),Skills!$B$16&amp;", ",""),LEN(IF(AND(AX188=1,Skills!$B$20=1),Skills!$B$5&amp;", ","")&amp;IF(AND(AY188=1,Skills!$C$20=1),Skills!$B$6&amp;", ","")&amp;IF(AND(AZ188=1,Skills!$D$20=1),Skills!$B$7&amp;", ","")&amp;IF(AND(BA188=1,Skills!$E$20=1),Skills!$B$8&amp;", ","")&amp;IF(AND(BB188=1,Skills!$F$20=1),Skills!$B$9&amp;", ","")&amp;IF(AND(BC188=1,Skills!$G$20=1),Skills!$B$10&amp;", ","")&amp;IF(AND(BD188=1,Skills!$H$20=1),Skills!$B$11&amp;", ","")&amp;IF(AND(BE188=1,Skills!$I$20=1),Skills!$B$12&amp;", ","")&amp;IF(AND(BF188=1,Skills!$J$20=1),Skills!$B$13&amp;", ","")&amp;IF(AND(BG188=1,Skills!$K$20=1),Skills!$B$14&amp;", ","")&amp;IF(AND(BH188=1,Skills!$L$20=1),Skills!$B$15&amp;", ","")&amp;IF(AND(BI188=1,Skills!$M$20=1),Skills!$B$16&amp;", ",""))-2)))</f>
        <v/>
      </c>
    </row>
    <row r="189">
      <c r="AD189" s="20" t="n"/>
      <c r="AE189" s="20" t="n"/>
      <c r="AF189" s="20" t="n"/>
      <c r="AG189" s="20" t="n"/>
      <c r="AH189" s="20" t="n"/>
      <c r="AI189" s="20" t="n"/>
      <c r="AJ189" s="20" t="n"/>
      <c r="AK189" s="20" t="n"/>
      <c r="AL189" s="20" t="n"/>
      <c r="AM189" s="20" t="n"/>
      <c r="AN189" s="20" t="n"/>
      <c r="AO189" s="20" t="n"/>
      <c r="AP189" s="20" t="n"/>
      <c r="AR189" s="31">
        <f>IF(IFERROR(TRIM(INDEX($A189:$AB189,MATCH(Lists!$B$5,$A$1:$AB$1,0))&amp;""),"")&lt;&gt;"",IFERROR(TRIM(INDEX($A189:$AB189,MATCH(Lists!$B$5,$A$1:$AB$1,0))&amp;""),""),IFERROR(TRIM(INDEX($A189:$AB189,MATCH(Lists!$B$3,$A$1:$AB$1,0))&amp;""),""))</f>
        <v/>
      </c>
      <c r="AS189" s="31">
        <f>IF(AR189="","",IF(IFERROR(TRIM(INDEX($A189:$AB189,MATCH(Lists!$B$5,$A$1:$AB$1,0))&amp;""),"")&lt;&gt;"","Nominated","Applied"))</f>
        <v/>
      </c>
      <c r="AT189" s="31">
        <f>IF(AR189="","",IF(IFERROR(TRIM(INDEX($A189:$AB189,MATCH(Lists!$B$5,$A$1:$AB$1,0))&amp;""),"")&lt;&gt;"",IFERROR(TRIM(INDEX($A189:$AB189,MATCH(Lists!$B$6,$A$1:$AB$1,0))&amp;""),""),IFERROR(TRIM(INDEX($A189:$AB189,MATCH(Lists!$B$4,$A$1:$AB$1,0))&amp;""),"")))</f>
        <v/>
      </c>
      <c r="AU189" s="31">
        <f>IF(AR189="","",IFERROR(TRIM(INDEX($A189:$AB189,MATCH(Lists!$B$7,$A$1:$AB$1,0))&amp;""),""))</f>
        <v/>
      </c>
      <c r="AV189" s="31">
        <f>IF(AR189="","",IFERROR(TRIM(INDEX($A189:$AB189,MATCH(Lists!$B$9,$A$1:$AB$1,0))&amp;""),""))</f>
        <v/>
      </c>
      <c r="AW189" s="31">
        <f>IF(AR189="","",IFERROR(TRIM(INDEX($A189:$AB189,MATCH(Lists!$B$8,$A$1:$AB$1,0))&amp;""),""))</f>
        <v/>
      </c>
      <c r="AX189" s="23">
        <f>IF(AR189="","",IF(OR(TRIM(AE189&amp;"")&lt;&gt;"",AND(Skills!$B$5&lt;&gt;"",ISNUMBER(SEARCH(Skills!$B$5,AU189)))),1,0))</f>
        <v/>
      </c>
      <c r="AY189" s="23">
        <f>IF(AR189="","",IF(OR(TRIM(AF189&amp;"")&lt;&gt;"",AND(Skills!$B$6&lt;&gt;"",ISNUMBER(SEARCH(Skills!$B$6,AU189)))),1,0))</f>
        <v/>
      </c>
      <c r="AZ189" s="23">
        <f>IF(AR189="","",IF(OR(TRIM(AG189&amp;"")&lt;&gt;"",AND(Skills!$B$7&lt;&gt;"",ISNUMBER(SEARCH(Skills!$B$7,AU189)))),1,0))</f>
        <v/>
      </c>
      <c r="BA189" s="23">
        <f>IF(AR189="","",IF(OR(TRIM(AH189&amp;"")&lt;&gt;"",AND(Skills!$B$8&lt;&gt;"",ISNUMBER(SEARCH(Skills!$B$8,AU189)))),1,0))</f>
        <v/>
      </c>
      <c r="BB189" s="23">
        <f>IF(AR189="","",IF(OR(TRIM(AI189&amp;"")&lt;&gt;"",AND(Skills!$B$9&lt;&gt;"",ISNUMBER(SEARCH(Skills!$B$9,AU189)))),1,0))</f>
        <v/>
      </c>
      <c r="BC189" s="23">
        <f>IF(AR189="","",IF(OR(TRIM(AJ189&amp;"")&lt;&gt;"",AND(Skills!$B$10&lt;&gt;"",ISNUMBER(SEARCH(Skills!$B$10,AU189)))),1,0))</f>
        <v/>
      </c>
      <c r="BD189" s="23">
        <f>IF(AR189="","",IF(OR(TRIM(AK189&amp;"")&lt;&gt;"",AND(Skills!$B$11&lt;&gt;"",ISNUMBER(SEARCH(Skills!$B$11,AU189)))),1,0))</f>
        <v/>
      </c>
      <c r="BE189" s="23">
        <f>IF(AR189="","",IF(OR(TRIM(AL189&amp;"")&lt;&gt;"",AND(Skills!$B$12&lt;&gt;"",ISNUMBER(SEARCH(Skills!$B$12,AU189)))),1,0))</f>
        <v/>
      </c>
      <c r="BF189" s="23">
        <f>IF(AR189="","",IF(OR(TRIM(AM189&amp;"")&lt;&gt;"",AND(Skills!$B$13&lt;&gt;"",ISNUMBER(SEARCH(Skills!$B$13,AU189)))),1,0))</f>
        <v/>
      </c>
      <c r="BG189" s="23">
        <f>IF(AR189="","",IF(OR(TRIM(AN189&amp;"")&lt;&gt;"",AND(Skills!$B$14&lt;&gt;"",ISNUMBER(SEARCH(Skills!$B$14,AU189)))),1,0))</f>
        <v/>
      </c>
      <c r="BH189" s="23">
        <f>IF(AR189="","",IF(OR(TRIM(AO189&amp;"")&lt;&gt;"",AND(Skills!$B$15&lt;&gt;"",ISNUMBER(SEARCH(Skills!$B$15,AU189)))),1,0))</f>
        <v/>
      </c>
      <c r="BI189" s="23">
        <f>IF(AR189="","",IF(OR(TRIM(AP189&amp;"")&lt;&gt;"",AND(Skills!$B$16&lt;&gt;"",ISNUMBER(SEARCH(Skills!$B$16,AU189)))),1,0))</f>
        <v/>
      </c>
      <c r="BJ189" s="23">
        <f>IF(AR189="","",SUMPRODUCT($AX189:$BI189,Skills!$B$20:$M$20))</f>
        <v/>
      </c>
      <c r="BK189" s="23">
        <f>IF(AR189="","",BJ189*100000+(100000-ROW()))</f>
        <v/>
      </c>
      <c r="BL189" s="31">
        <f>IF(AR189="","",IF((IF(AND(AX189=1,Skills!$B$20=1),Skills!$B$5&amp;", ","")&amp;IF(AND(AY189=1,Skills!$C$20=1),Skills!$B$6&amp;", ","")&amp;IF(AND(AZ189=1,Skills!$D$20=1),Skills!$B$7&amp;", ","")&amp;IF(AND(BA189=1,Skills!$E$20=1),Skills!$B$8&amp;", ","")&amp;IF(AND(BB189=1,Skills!$F$20=1),Skills!$B$9&amp;", ","")&amp;IF(AND(BC189=1,Skills!$G$20=1),Skills!$B$10&amp;", ","")&amp;IF(AND(BD189=1,Skills!$H$20=1),Skills!$B$11&amp;", ","")&amp;IF(AND(BE189=1,Skills!$I$20=1),Skills!$B$12&amp;", ","")&amp;IF(AND(BF189=1,Skills!$J$20=1),Skills!$B$13&amp;", ","")&amp;IF(AND(BG189=1,Skills!$K$20=1),Skills!$B$14&amp;", ","")&amp;IF(AND(BH189=1,Skills!$L$20=1),Skills!$B$15&amp;", ","")&amp;IF(AND(BI189=1,Skills!$M$20=1),Skills!$B$16&amp;", ",""))="","",LEFT(IF(AND(AX189=1,Skills!$B$20=1),Skills!$B$5&amp;", ","")&amp;IF(AND(AY189=1,Skills!$C$20=1),Skills!$B$6&amp;", ","")&amp;IF(AND(AZ189=1,Skills!$D$20=1),Skills!$B$7&amp;", ","")&amp;IF(AND(BA189=1,Skills!$E$20=1),Skills!$B$8&amp;", ","")&amp;IF(AND(BB189=1,Skills!$F$20=1),Skills!$B$9&amp;", ","")&amp;IF(AND(BC189=1,Skills!$G$20=1),Skills!$B$10&amp;", ","")&amp;IF(AND(BD189=1,Skills!$H$20=1),Skills!$B$11&amp;", ","")&amp;IF(AND(BE189=1,Skills!$I$20=1),Skills!$B$12&amp;", ","")&amp;IF(AND(BF189=1,Skills!$J$20=1),Skills!$B$13&amp;", ","")&amp;IF(AND(BG189=1,Skills!$K$20=1),Skills!$B$14&amp;", ","")&amp;IF(AND(BH189=1,Skills!$L$20=1),Skills!$B$15&amp;", ","")&amp;IF(AND(BI189=1,Skills!$M$20=1),Skills!$B$16&amp;", ",""),LEN(IF(AND(AX189=1,Skills!$B$20=1),Skills!$B$5&amp;", ","")&amp;IF(AND(AY189=1,Skills!$C$20=1),Skills!$B$6&amp;", ","")&amp;IF(AND(AZ189=1,Skills!$D$20=1),Skills!$B$7&amp;", ","")&amp;IF(AND(BA189=1,Skills!$E$20=1),Skills!$B$8&amp;", ","")&amp;IF(AND(BB189=1,Skills!$F$20=1),Skills!$B$9&amp;", ","")&amp;IF(AND(BC189=1,Skills!$G$20=1),Skills!$B$10&amp;", ","")&amp;IF(AND(BD189=1,Skills!$H$20=1),Skills!$B$11&amp;", ","")&amp;IF(AND(BE189=1,Skills!$I$20=1),Skills!$B$12&amp;", ","")&amp;IF(AND(BF189=1,Skills!$J$20=1),Skills!$B$13&amp;", ","")&amp;IF(AND(BG189=1,Skills!$K$20=1),Skills!$B$14&amp;", ","")&amp;IF(AND(BH189=1,Skills!$L$20=1),Skills!$B$15&amp;", ","")&amp;IF(AND(BI189=1,Skills!$M$20=1),Skills!$B$16&amp;", ",""))-2)))</f>
        <v/>
      </c>
    </row>
    <row r="190">
      <c r="AD190" s="20" t="n"/>
      <c r="AE190" s="20" t="n"/>
      <c r="AF190" s="20" t="n"/>
      <c r="AG190" s="20" t="n"/>
      <c r="AH190" s="20" t="n"/>
      <c r="AI190" s="20" t="n"/>
      <c r="AJ190" s="20" t="n"/>
      <c r="AK190" s="20" t="n"/>
      <c r="AL190" s="20" t="n"/>
      <c r="AM190" s="20" t="n"/>
      <c r="AN190" s="20" t="n"/>
      <c r="AO190" s="20" t="n"/>
      <c r="AP190" s="20" t="n"/>
      <c r="AR190" s="31">
        <f>IF(IFERROR(TRIM(INDEX($A190:$AB190,MATCH(Lists!$B$5,$A$1:$AB$1,0))&amp;""),"")&lt;&gt;"",IFERROR(TRIM(INDEX($A190:$AB190,MATCH(Lists!$B$5,$A$1:$AB$1,0))&amp;""),""),IFERROR(TRIM(INDEX($A190:$AB190,MATCH(Lists!$B$3,$A$1:$AB$1,0))&amp;""),""))</f>
        <v/>
      </c>
      <c r="AS190" s="31">
        <f>IF(AR190="","",IF(IFERROR(TRIM(INDEX($A190:$AB190,MATCH(Lists!$B$5,$A$1:$AB$1,0))&amp;""),"")&lt;&gt;"","Nominated","Applied"))</f>
        <v/>
      </c>
      <c r="AT190" s="31">
        <f>IF(AR190="","",IF(IFERROR(TRIM(INDEX($A190:$AB190,MATCH(Lists!$B$5,$A$1:$AB$1,0))&amp;""),"")&lt;&gt;"",IFERROR(TRIM(INDEX($A190:$AB190,MATCH(Lists!$B$6,$A$1:$AB$1,0))&amp;""),""),IFERROR(TRIM(INDEX($A190:$AB190,MATCH(Lists!$B$4,$A$1:$AB$1,0))&amp;""),"")))</f>
        <v/>
      </c>
      <c r="AU190" s="31">
        <f>IF(AR190="","",IFERROR(TRIM(INDEX($A190:$AB190,MATCH(Lists!$B$7,$A$1:$AB$1,0))&amp;""),""))</f>
        <v/>
      </c>
      <c r="AV190" s="31">
        <f>IF(AR190="","",IFERROR(TRIM(INDEX($A190:$AB190,MATCH(Lists!$B$9,$A$1:$AB$1,0))&amp;""),""))</f>
        <v/>
      </c>
      <c r="AW190" s="31">
        <f>IF(AR190="","",IFERROR(TRIM(INDEX($A190:$AB190,MATCH(Lists!$B$8,$A$1:$AB$1,0))&amp;""),""))</f>
        <v/>
      </c>
      <c r="AX190" s="23">
        <f>IF(AR190="","",IF(OR(TRIM(AE190&amp;"")&lt;&gt;"",AND(Skills!$B$5&lt;&gt;"",ISNUMBER(SEARCH(Skills!$B$5,AU190)))),1,0))</f>
        <v/>
      </c>
      <c r="AY190" s="23">
        <f>IF(AR190="","",IF(OR(TRIM(AF190&amp;"")&lt;&gt;"",AND(Skills!$B$6&lt;&gt;"",ISNUMBER(SEARCH(Skills!$B$6,AU190)))),1,0))</f>
        <v/>
      </c>
      <c r="AZ190" s="23">
        <f>IF(AR190="","",IF(OR(TRIM(AG190&amp;"")&lt;&gt;"",AND(Skills!$B$7&lt;&gt;"",ISNUMBER(SEARCH(Skills!$B$7,AU190)))),1,0))</f>
        <v/>
      </c>
      <c r="BA190" s="23">
        <f>IF(AR190="","",IF(OR(TRIM(AH190&amp;"")&lt;&gt;"",AND(Skills!$B$8&lt;&gt;"",ISNUMBER(SEARCH(Skills!$B$8,AU190)))),1,0))</f>
        <v/>
      </c>
      <c r="BB190" s="23">
        <f>IF(AR190="","",IF(OR(TRIM(AI190&amp;"")&lt;&gt;"",AND(Skills!$B$9&lt;&gt;"",ISNUMBER(SEARCH(Skills!$B$9,AU190)))),1,0))</f>
        <v/>
      </c>
      <c r="BC190" s="23">
        <f>IF(AR190="","",IF(OR(TRIM(AJ190&amp;"")&lt;&gt;"",AND(Skills!$B$10&lt;&gt;"",ISNUMBER(SEARCH(Skills!$B$10,AU190)))),1,0))</f>
        <v/>
      </c>
      <c r="BD190" s="23">
        <f>IF(AR190="","",IF(OR(TRIM(AK190&amp;"")&lt;&gt;"",AND(Skills!$B$11&lt;&gt;"",ISNUMBER(SEARCH(Skills!$B$11,AU190)))),1,0))</f>
        <v/>
      </c>
      <c r="BE190" s="23">
        <f>IF(AR190="","",IF(OR(TRIM(AL190&amp;"")&lt;&gt;"",AND(Skills!$B$12&lt;&gt;"",ISNUMBER(SEARCH(Skills!$B$12,AU190)))),1,0))</f>
        <v/>
      </c>
      <c r="BF190" s="23">
        <f>IF(AR190="","",IF(OR(TRIM(AM190&amp;"")&lt;&gt;"",AND(Skills!$B$13&lt;&gt;"",ISNUMBER(SEARCH(Skills!$B$13,AU190)))),1,0))</f>
        <v/>
      </c>
      <c r="BG190" s="23">
        <f>IF(AR190="","",IF(OR(TRIM(AN190&amp;"")&lt;&gt;"",AND(Skills!$B$14&lt;&gt;"",ISNUMBER(SEARCH(Skills!$B$14,AU190)))),1,0))</f>
        <v/>
      </c>
      <c r="BH190" s="23">
        <f>IF(AR190="","",IF(OR(TRIM(AO190&amp;"")&lt;&gt;"",AND(Skills!$B$15&lt;&gt;"",ISNUMBER(SEARCH(Skills!$B$15,AU190)))),1,0))</f>
        <v/>
      </c>
      <c r="BI190" s="23">
        <f>IF(AR190="","",IF(OR(TRIM(AP190&amp;"")&lt;&gt;"",AND(Skills!$B$16&lt;&gt;"",ISNUMBER(SEARCH(Skills!$B$16,AU190)))),1,0))</f>
        <v/>
      </c>
      <c r="BJ190" s="23">
        <f>IF(AR190="","",SUMPRODUCT($AX190:$BI190,Skills!$B$20:$M$20))</f>
        <v/>
      </c>
      <c r="BK190" s="23">
        <f>IF(AR190="","",BJ190*100000+(100000-ROW()))</f>
        <v/>
      </c>
      <c r="BL190" s="31">
        <f>IF(AR190="","",IF((IF(AND(AX190=1,Skills!$B$20=1),Skills!$B$5&amp;", ","")&amp;IF(AND(AY190=1,Skills!$C$20=1),Skills!$B$6&amp;", ","")&amp;IF(AND(AZ190=1,Skills!$D$20=1),Skills!$B$7&amp;", ","")&amp;IF(AND(BA190=1,Skills!$E$20=1),Skills!$B$8&amp;", ","")&amp;IF(AND(BB190=1,Skills!$F$20=1),Skills!$B$9&amp;", ","")&amp;IF(AND(BC190=1,Skills!$G$20=1),Skills!$B$10&amp;", ","")&amp;IF(AND(BD190=1,Skills!$H$20=1),Skills!$B$11&amp;", ","")&amp;IF(AND(BE190=1,Skills!$I$20=1),Skills!$B$12&amp;", ","")&amp;IF(AND(BF190=1,Skills!$J$20=1),Skills!$B$13&amp;", ","")&amp;IF(AND(BG190=1,Skills!$K$20=1),Skills!$B$14&amp;", ","")&amp;IF(AND(BH190=1,Skills!$L$20=1),Skills!$B$15&amp;", ","")&amp;IF(AND(BI190=1,Skills!$M$20=1),Skills!$B$16&amp;", ",""))="","",LEFT(IF(AND(AX190=1,Skills!$B$20=1),Skills!$B$5&amp;", ","")&amp;IF(AND(AY190=1,Skills!$C$20=1),Skills!$B$6&amp;", ","")&amp;IF(AND(AZ190=1,Skills!$D$20=1),Skills!$B$7&amp;", ","")&amp;IF(AND(BA190=1,Skills!$E$20=1),Skills!$B$8&amp;", ","")&amp;IF(AND(BB190=1,Skills!$F$20=1),Skills!$B$9&amp;", ","")&amp;IF(AND(BC190=1,Skills!$G$20=1),Skills!$B$10&amp;", ","")&amp;IF(AND(BD190=1,Skills!$H$20=1),Skills!$B$11&amp;", ","")&amp;IF(AND(BE190=1,Skills!$I$20=1),Skills!$B$12&amp;", ","")&amp;IF(AND(BF190=1,Skills!$J$20=1),Skills!$B$13&amp;", ","")&amp;IF(AND(BG190=1,Skills!$K$20=1),Skills!$B$14&amp;", ","")&amp;IF(AND(BH190=1,Skills!$L$20=1),Skills!$B$15&amp;", ","")&amp;IF(AND(BI190=1,Skills!$M$20=1),Skills!$B$16&amp;", ",""),LEN(IF(AND(AX190=1,Skills!$B$20=1),Skills!$B$5&amp;", ","")&amp;IF(AND(AY190=1,Skills!$C$20=1),Skills!$B$6&amp;", ","")&amp;IF(AND(AZ190=1,Skills!$D$20=1),Skills!$B$7&amp;", ","")&amp;IF(AND(BA190=1,Skills!$E$20=1),Skills!$B$8&amp;", ","")&amp;IF(AND(BB190=1,Skills!$F$20=1),Skills!$B$9&amp;", ","")&amp;IF(AND(BC190=1,Skills!$G$20=1),Skills!$B$10&amp;", ","")&amp;IF(AND(BD190=1,Skills!$H$20=1),Skills!$B$11&amp;", ","")&amp;IF(AND(BE190=1,Skills!$I$20=1),Skills!$B$12&amp;", ","")&amp;IF(AND(BF190=1,Skills!$J$20=1),Skills!$B$13&amp;", ","")&amp;IF(AND(BG190=1,Skills!$K$20=1),Skills!$B$14&amp;", ","")&amp;IF(AND(BH190=1,Skills!$L$20=1),Skills!$B$15&amp;", ","")&amp;IF(AND(BI190=1,Skills!$M$20=1),Skills!$B$16&amp;", ",""))-2)))</f>
        <v/>
      </c>
    </row>
    <row r="191">
      <c r="AD191" s="20" t="n"/>
      <c r="AE191" s="20" t="n"/>
      <c r="AF191" s="20" t="n"/>
      <c r="AG191" s="20" t="n"/>
      <c r="AH191" s="20" t="n"/>
      <c r="AI191" s="20" t="n"/>
      <c r="AJ191" s="20" t="n"/>
      <c r="AK191" s="20" t="n"/>
      <c r="AL191" s="20" t="n"/>
      <c r="AM191" s="20" t="n"/>
      <c r="AN191" s="20" t="n"/>
      <c r="AO191" s="20" t="n"/>
      <c r="AP191" s="20" t="n"/>
      <c r="AR191" s="31">
        <f>IF(IFERROR(TRIM(INDEX($A191:$AB191,MATCH(Lists!$B$5,$A$1:$AB$1,0))&amp;""),"")&lt;&gt;"",IFERROR(TRIM(INDEX($A191:$AB191,MATCH(Lists!$B$5,$A$1:$AB$1,0))&amp;""),""),IFERROR(TRIM(INDEX($A191:$AB191,MATCH(Lists!$B$3,$A$1:$AB$1,0))&amp;""),""))</f>
        <v/>
      </c>
      <c r="AS191" s="31">
        <f>IF(AR191="","",IF(IFERROR(TRIM(INDEX($A191:$AB191,MATCH(Lists!$B$5,$A$1:$AB$1,0))&amp;""),"")&lt;&gt;"","Nominated","Applied"))</f>
        <v/>
      </c>
      <c r="AT191" s="31">
        <f>IF(AR191="","",IF(IFERROR(TRIM(INDEX($A191:$AB191,MATCH(Lists!$B$5,$A$1:$AB$1,0))&amp;""),"")&lt;&gt;"",IFERROR(TRIM(INDEX($A191:$AB191,MATCH(Lists!$B$6,$A$1:$AB$1,0))&amp;""),""),IFERROR(TRIM(INDEX($A191:$AB191,MATCH(Lists!$B$4,$A$1:$AB$1,0))&amp;""),"")))</f>
        <v/>
      </c>
      <c r="AU191" s="31">
        <f>IF(AR191="","",IFERROR(TRIM(INDEX($A191:$AB191,MATCH(Lists!$B$7,$A$1:$AB$1,0))&amp;""),""))</f>
        <v/>
      </c>
      <c r="AV191" s="31">
        <f>IF(AR191="","",IFERROR(TRIM(INDEX($A191:$AB191,MATCH(Lists!$B$9,$A$1:$AB$1,0))&amp;""),""))</f>
        <v/>
      </c>
      <c r="AW191" s="31">
        <f>IF(AR191="","",IFERROR(TRIM(INDEX($A191:$AB191,MATCH(Lists!$B$8,$A$1:$AB$1,0))&amp;""),""))</f>
        <v/>
      </c>
      <c r="AX191" s="23">
        <f>IF(AR191="","",IF(OR(TRIM(AE191&amp;"")&lt;&gt;"",AND(Skills!$B$5&lt;&gt;"",ISNUMBER(SEARCH(Skills!$B$5,AU191)))),1,0))</f>
        <v/>
      </c>
      <c r="AY191" s="23">
        <f>IF(AR191="","",IF(OR(TRIM(AF191&amp;"")&lt;&gt;"",AND(Skills!$B$6&lt;&gt;"",ISNUMBER(SEARCH(Skills!$B$6,AU191)))),1,0))</f>
        <v/>
      </c>
      <c r="AZ191" s="23">
        <f>IF(AR191="","",IF(OR(TRIM(AG191&amp;"")&lt;&gt;"",AND(Skills!$B$7&lt;&gt;"",ISNUMBER(SEARCH(Skills!$B$7,AU191)))),1,0))</f>
        <v/>
      </c>
      <c r="BA191" s="23">
        <f>IF(AR191="","",IF(OR(TRIM(AH191&amp;"")&lt;&gt;"",AND(Skills!$B$8&lt;&gt;"",ISNUMBER(SEARCH(Skills!$B$8,AU191)))),1,0))</f>
        <v/>
      </c>
      <c r="BB191" s="23">
        <f>IF(AR191="","",IF(OR(TRIM(AI191&amp;"")&lt;&gt;"",AND(Skills!$B$9&lt;&gt;"",ISNUMBER(SEARCH(Skills!$B$9,AU191)))),1,0))</f>
        <v/>
      </c>
      <c r="BC191" s="23">
        <f>IF(AR191="","",IF(OR(TRIM(AJ191&amp;"")&lt;&gt;"",AND(Skills!$B$10&lt;&gt;"",ISNUMBER(SEARCH(Skills!$B$10,AU191)))),1,0))</f>
        <v/>
      </c>
      <c r="BD191" s="23">
        <f>IF(AR191="","",IF(OR(TRIM(AK191&amp;"")&lt;&gt;"",AND(Skills!$B$11&lt;&gt;"",ISNUMBER(SEARCH(Skills!$B$11,AU191)))),1,0))</f>
        <v/>
      </c>
      <c r="BE191" s="23">
        <f>IF(AR191="","",IF(OR(TRIM(AL191&amp;"")&lt;&gt;"",AND(Skills!$B$12&lt;&gt;"",ISNUMBER(SEARCH(Skills!$B$12,AU191)))),1,0))</f>
        <v/>
      </c>
      <c r="BF191" s="23">
        <f>IF(AR191="","",IF(OR(TRIM(AM191&amp;"")&lt;&gt;"",AND(Skills!$B$13&lt;&gt;"",ISNUMBER(SEARCH(Skills!$B$13,AU191)))),1,0))</f>
        <v/>
      </c>
      <c r="BG191" s="23">
        <f>IF(AR191="","",IF(OR(TRIM(AN191&amp;"")&lt;&gt;"",AND(Skills!$B$14&lt;&gt;"",ISNUMBER(SEARCH(Skills!$B$14,AU191)))),1,0))</f>
        <v/>
      </c>
      <c r="BH191" s="23">
        <f>IF(AR191="","",IF(OR(TRIM(AO191&amp;"")&lt;&gt;"",AND(Skills!$B$15&lt;&gt;"",ISNUMBER(SEARCH(Skills!$B$15,AU191)))),1,0))</f>
        <v/>
      </c>
      <c r="BI191" s="23">
        <f>IF(AR191="","",IF(OR(TRIM(AP191&amp;"")&lt;&gt;"",AND(Skills!$B$16&lt;&gt;"",ISNUMBER(SEARCH(Skills!$B$16,AU191)))),1,0))</f>
        <v/>
      </c>
      <c r="BJ191" s="23">
        <f>IF(AR191="","",SUMPRODUCT($AX191:$BI191,Skills!$B$20:$M$20))</f>
        <v/>
      </c>
      <c r="BK191" s="23">
        <f>IF(AR191="","",BJ191*100000+(100000-ROW()))</f>
        <v/>
      </c>
      <c r="BL191" s="31">
        <f>IF(AR191="","",IF((IF(AND(AX191=1,Skills!$B$20=1),Skills!$B$5&amp;", ","")&amp;IF(AND(AY191=1,Skills!$C$20=1),Skills!$B$6&amp;", ","")&amp;IF(AND(AZ191=1,Skills!$D$20=1),Skills!$B$7&amp;", ","")&amp;IF(AND(BA191=1,Skills!$E$20=1),Skills!$B$8&amp;", ","")&amp;IF(AND(BB191=1,Skills!$F$20=1),Skills!$B$9&amp;", ","")&amp;IF(AND(BC191=1,Skills!$G$20=1),Skills!$B$10&amp;", ","")&amp;IF(AND(BD191=1,Skills!$H$20=1),Skills!$B$11&amp;", ","")&amp;IF(AND(BE191=1,Skills!$I$20=1),Skills!$B$12&amp;", ","")&amp;IF(AND(BF191=1,Skills!$J$20=1),Skills!$B$13&amp;", ","")&amp;IF(AND(BG191=1,Skills!$K$20=1),Skills!$B$14&amp;", ","")&amp;IF(AND(BH191=1,Skills!$L$20=1),Skills!$B$15&amp;", ","")&amp;IF(AND(BI191=1,Skills!$M$20=1),Skills!$B$16&amp;", ",""))="","",LEFT(IF(AND(AX191=1,Skills!$B$20=1),Skills!$B$5&amp;", ","")&amp;IF(AND(AY191=1,Skills!$C$20=1),Skills!$B$6&amp;", ","")&amp;IF(AND(AZ191=1,Skills!$D$20=1),Skills!$B$7&amp;", ","")&amp;IF(AND(BA191=1,Skills!$E$20=1),Skills!$B$8&amp;", ","")&amp;IF(AND(BB191=1,Skills!$F$20=1),Skills!$B$9&amp;", ","")&amp;IF(AND(BC191=1,Skills!$G$20=1),Skills!$B$10&amp;", ","")&amp;IF(AND(BD191=1,Skills!$H$20=1),Skills!$B$11&amp;", ","")&amp;IF(AND(BE191=1,Skills!$I$20=1),Skills!$B$12&amp;", ","")&amp;IF(AND(BF191=1,Skills!$J$20=1),Skills!$B$13&amp;", ","")&amp;IF(AND(BG191=1,Skills!$K$20=1),Skills!$B$14&amp;", ","")&amp;IF(AND(BH191=1,Skills!$L$20=1),Skills!$B$15&amp;", ","")&amp;IF(AND(BI191=1,Skills!$M$20=1),Skills!$B$16&amp;", ",""),LEN(IF(AND(AX191=1,Skills!$B$20=1),Skills!$B$5&amp;", ","")&amp;IF(AND(AY191=1,Skills!$C$20=1),Skills!$B$6&amp;", ","")&amp;IF(AND(AZ191=1,Skills!$D$20=1),Skills!$B$7&amp;", ","")&amp;IF(AND(BA191=1,Skills!$E$20=1),Skills!$B$8&amp;", ","")&amp;IF(AND(BB191=1,Skills!$F$20=1),Skills!$B$9&amp;", ","")&amp;IF(AND(BC191=1,Skills!$G$20=1),Skills!$B$10&amp;", ","")&amp;IF(AND(BD191=1,Skills!$H$20=1),Skills!$B$11&amp;", ","")&amp;IF(AND(BE191=1,Skills!$I$20=1),Skills!$B$12&amp;", ","")&amp;IF(AND(BF191=1,Skills!$J$20=1),Skills!$B$13&amp;", ","")&amp;IF(AND(BG191=1,Skills!$K$20=1),Skills!$B$14&amp;", ","")&amp;IF(AND(BH191=1,Skills!$L$20=1),Skills!$B$15&amp;", ","")&amp;IF(AND(BI191=1,Skills!$M$20=1),Skills!$B$16&amp;", ",""))-2)))</f>
        <v/>
      </c>
    </row>
    <row r="192">
      <c r="AD192" s="20" t="n"/>
      <c r="AE192" s="20" t="n"/>
      <c r="AF192" s="20" t="n"/>
      <c r="AG192" s="20" t="n"/>
      <c r="AH192" s="20" t="n"/>
      <c r="AI192" s="20" t="n"/>
      <c r="AJ192" s="20" t="n"/>
      <c r="AK192" s="20" t="n"/>
      <c r="AL192" s="20" t="n"/>
      <c r="AM192" s="20" t="n"/>
      <c r="AN192" s="20" t="n"/>
      <c r="AO192" s="20" t="n"/>
      <c r="AP192" s="20" t="n"/>
      <c r="AR192" s="31">
        <f>IF(IFERROR(TRIM(INDEX($A192:$AB192,MATCH(Lists!$B$5,$A$1:$AB$1,0))&amp;""),"")&lt;&gt;"",IFERROR(TRIM(INDEX($A192:$AB192,MATCH(Lists!$B$5,$A$1:$AB$1,0))&amp;""),""),IFERROR(TRIM(INDEX($A192:$AB192,MATCH(Lists!$B$3,$A$1:$AB$1,0))&amp;""),""))</f>
        <v/>
      </c>
      <c r="AS192" s="31">
        <f>IF(AR192="","",IF(IFERROR(TRIM(INDEX($A192:$AB192,MATCH(Lists!$B$5,$A$1:$AB$1,0))&amp;""),"")&lt;&gt;"","Nominated","Applied"))</f>
        <v/>
      </c>
      <c r="AT192" s="31">
        <f>IF(AR192="","",IF(IFERROR(TRIM(INDEX($A192:$AB192,MATCH(Lists!$B$5,$A$1:$AB$1,0))&amp;""),"")&lt;&gt;"",IFERROR(TRIM(INDEX($A192:$AB192,MATCH(Lists!$B$6,$A$1:$AB$1,0))&amp;""),""),IFERROR(TRIM(INDEX($A192:$AB192,MATCH(Lists!$B$4,$A$1:$AB$1,0))&amp;""),"")))</f>
        <v/>
      </c>
      <c r="AU192" s="31">
        <f>IF(AR192="","",IFERROR(TRIM(INDEX($A192:$AB192,MATCH(Lists!$B$7,$A$1:$AB$1,0))&amp;""),""))</f>
        <v/>
      </c>
      <c r="AV192" s="31">
        <f>IF(AR192="","",IFERROR(TRIM(INDEX($A192:$AB192,MATCH(Lists!$B$9,$A$1:$AB$1,0))&amp;""),""))</f>
        <v/>
      </c>
      <c r="AW192" s="31">
        <f>IF(AR192="","",IFERROR(TRIM(INDEX($A192:$AB192,MATCH(Lists!$B$8,$A$1:$AB$1,0))&amp;""),""))</f>
        <v/>
      </c>
      <c r="AX192" s="23">
        <f>IF(AR192="","",IF(OR(TRIM(AE192&amp;"")&lt;&gt;"",AND(Skills!$B$5&lt;&gt;"",ISNUMBER(SEARCH(Skills!$B$5,AU192)))),1,0))</f>
        <v/>
      </c>
      <c r="AY192" s="23">
        <f>IF(AR192="","",IF(OR(TRIM(AF192&amp;"")&lt;&gt;"",AND(Skills!$B$6&lt;&gt;"",ISNUMBER(SEARCH(Skills!$B$6,AU192)))),1,0))</f>
        <v/>
      </c>
      <c r="AZ192" s="23">
        <f>IF(AR192="","",IF(OR(TRIM(AG192&amp;"")&lt;&gt;"",AND(Skills!$B$7&lt;&gt;"",ISNUMBER(SEARCH(Skills!$B$7,AU192)))),1,0))</f>
        <v/>
      </c>
      <c r="BA192" s="23">
        <f>IF(AR192="","",IF(OR(TRIM(AH192&amp;"")&lt;&gt;"",AND(Skills!$B$8&lt;&gt;"",ISNUMBER(SEARCH(Skills!$B$8,AU192)))),1,0))</f>
        <v/>
      </c>
      <c r="BB192" s="23">
        <f>IF(AR192="","",IF(OR(TRIM(AI192&amp;"")&lt;&gt;"",AND(Skills!$B$9&lt;&gt;"",ISNUMBER(SEARCH(Skills!$B$9,AU192)))),1,0))</f>
        <v/>
      </c>
      <c r="BC192" s="23">
        <f>IF(AR192="","",IF(OR(TRIM(AJ192&amp;"")&lt;&gt;"",AND(Skills!$B$10&lt;&gt;"",ISNUMBER(SEARCH(Skills!$B$10,AU192)))),1,0))</f>
        <v/>
      </c>
      <c r="BD192" s="23">
        <f>IF(AR192="","",IF(OR(TRIM(AK192&amp;"")&lt;&gt;"",AND(Skills!$B$11&lt;&gt;"",ISNUMBER(SEARCH(Skills!$B$11,AU192)))),1,0))</f>
        <v/>
      </c>
      <c r="BE192" s="23">
        <f>IF(AR192="","",IF(OR(TRIM(AL192&amp;"")&lt;&gt;"",AND(Skills!$B$12&lt;&gt;"",ISNUMBER(SEARCH(Skills!$B$12,AU192)))),1,0))</f>
        <v/>
      </c>
      <c r="BF192" s="23">
        <f>IF(AR192="","",IF(OR(TRIM(AM192&amp;"")&lt;&gt;"",AND(Skills!$B$13&lt;&gt;"",ISNUMBER(SEARCH(Skills!$B$13,AU192)))),1,0))</f>
        <v/>
      </c>
      <c r="BG192" s="23">
        <f>IF(AR192="","",IF(OR(TRIM(AN192&amp;"")&lt;&gt;"",AND(Skills!$B$14&lt;&gt;"",ISNUMBER(SEARCH(Skills!$B$14,AU192)))),1,0))</f>
        <v/>
      </c>
      <c r="BH192" s="23">
        <f>IF(AR192="","",IF(OR(TRIM(AO192&amp;"")&lt;&gt;"",AND(Skills!$B$15&lt;&gt;"",ISNUMBER(SEARCH(Skills!$B$15,AU192)))),1,0))</f>
        <v/>
      </c>
      <c r="BI192" s="23">
        <f>IF(AR192="","",IF(OR(TRIM(AP192&amp;"")&lt;&gt;"",AND(Skills!$B$16&lt;&gt;"",ISNUMBER(SEARCH(Skills!$B$16,AU192)))),1,0))</f>
        <v/>
      </c>
      <c r="BJ192" s="23">
        <f>IF(AR192="","",SUMPRODUCT($AX192:$BI192,Skills!$B$20:$M$20))</f>
        <v/>
      </c>
      <c r="BK192" s="23">
        <f>IF(AR192="","",BJ192*100000+(100000-ROW()))</f>
        <v/>
      </c>
      <c r="BL192" s="31">
        <f>IF(AR192="","",IF((IF(AND(AX192=1,Skills!$B$20=1),Skills!$B$5&amp;", ","")&amp;IF(AND(AY192=1,Skills!$C$20=1),Skills!$B$6&amp;", ","")&amp;IF(AND(AZ192=1,Skills!$D$20=1),Skills!$B$7&amp;", ","")&amp;IF(AND(BA192=1,Skills!$E$20=1),Skills!$B$8&amp;", ","")&amp;IF(AND(BB192=1,Skills!$F$20=1),Skills!$B$9&amp;", ","")&amp;IF(AND(BC192=1,Skills!$G$20=1),Skills!$B$10&amp;", ","")&amp;IF(AND(BD192=1,Skills!$H$20=1),Skills!$B$11&amp;", ","")&amp;IF(AND(BE192=1,Skills!$I$20=1),Skills!$B$12&amp;", ","")&amp;IF(AND(BF192=1,Skills!$J$20=1),Skills!$B$13&amp;", ","")&amp;IF(AND(BG192=1,Skills!$K$20=1),Skills!$B$14&amp;", ","")&amp;IF(AND(BH192=1,Skills!$L$20=1),Skills!$B$15&amp;", ","")&amp;IF(AND(BI192=1,Skills!$M$20=1),Skills!$B$16&amp;", ",""))="","",LEFT(IF(AND(AX192=1,Skills!$B$20=1),Skills!$B$5&amp;", ","")&amp;IF(AND(AY192=1,Skills!$C$20=1),Skills!$B$6&amp;", ","")&amp;IF(AND(AZ192=1,Skills!$D$20=1),Skills!$B$7&amp;", ","")&amp;IF(AND(BA192=1,Skills!$E$20=1),Skills!$B$8&amp;", ","")&amp;IF(AND(BB192=1,Skills!$F$20=1),Skills!$B$9&amp;", ","")&amp;IF(AND(BC192=1,Skills!$G$20=1),Skills!$B$10&amp;", ","")&amp;IF(AND(BD192=1,Skills!$H$20=1),Skills!$B$11&amp;", ","")&amp;IF(AND(BE192=1,Skills!$I$20=1),Skills!$B$12&amp;", ","")&amp;IF(AND(BF192=1,Skills!$J$20=1),Skills!$B$13&amp;", ","")&amp;IF(AND(BG192=1,Skills!$K$20=1),Skills!$B$14&amp;", ","")&amp;IF(AND(BH192=1,Skills!$L$20=1),Skills!$B$15&amp;", ","")&amp;IF(AND(BI192=1,Skills!$M$20=1),Skills!$B$16&amp;", ",""),LEN(IF(AND(AX192=1,Skills!$B$20=1),Skills!$B$5&amp;", ","")&amp;IF(AND(AY192=1,Skills!$C$20=1),Skills!$B$6&amp;", ","")&amp;IF(AND(AZ192=1,Skills!$D$20=1),Skills!$B$7&amp;", ","")&amp;IF(AND(BA192=1,Skills!$E$20=1),Skills!$B$8&amp;", ","")&amp;IF(AND(BB192=1,Skills!$F$20=1),Skills!$B$9&amp;", ","")&amp;IF(AND(BC192=1,Skills!$G$20=1),Skills!$B$10&amp;", ","")&amp;IF(AND(BD192=1,Skills!$H$20=1),Skills!$B$11&amp;", ","")&amp;IF(AND(BE192=1,Skills!$I$20=1),Skills!$B$12&amp;", ","")&amp;IF(AND(BF192=1,Skills!$J$20=1),Skills!$B$13&amp;", ","")&amp;IF(AND(BG192=1,Skills!$K$20=1),Skills!$B$14&amp;", ","")&amp;IF(AND(BH192=1,Skills!$L$20=1),Skills!$B$15&amp;", ","")&amp;IF(AND(BI192=1,Skills!$M$20=1),Skills!$B$16&amp;", ",""))-2)))</f>
        <v/>
      </c>
    </row>
    <row r="193">
      <c r="AD193" s="20" t="n"/>
      <c r="AE193" s="20" t="n"/>
      <c r="AF193" s="20" t="n"/>
      <c r="AG193" s="20" t="n"/>
      <c r="AH193" s="20" t="n"/>
      <c r="AI193" s="20" t="n"/>
      <c r="AJ193" s="20" t="n"/>
      <c r="AK193" s="20" t="n"/>
      <c r="AL193" s="20" t="n"/>
      <c r="AM193" s="20" t="n"/>
      <c r="AN193" s="20" t="n"/>
      <c r="AO193" s="20" t="n"/>
      <c r="AP193" s="20" t="n"/>
      <c r="AR193" s="31">
        <f>IF(IFERROR(TRIM(INDEX($A193:$AB193,MATCH(Lists!$B$5,$A$1:$AB$1,0))&amp;""),"")&lt;&gt;"",IFERROR(TRIM(INDEX($A193:$AB193,MATCH(Lists!$B$5,$A$1:$AB$1,0))&amp;""),""),IFERROR(TRIM(INDEX($A193:$AB193,MATCH(Lists!$B$3,$A$1:$AB$1,0))&amp;""),""))</f>
        <v/>
      </c>
      <c r="AS193" s="31">
        <f>IF(AR193="","",IF(IFERROR(TRIM(INDEX($A193:$AB193,MATCH(Lists!$B$5,$A$1:$AB$1,0))&amp;""),"")&lt;&gt;"","Nominated","Applied"))</f>
        <v/>
      </c>
      <c r="AT193" s="31">
        <f>IF(AR193="","",IF(IFERROR(TRIM(INDEX($A193:$AB193,MATCH(Lists!$B$5,$A$1:$AB$1,0))&amp;""),"")&lt;&gt;"",IFERROR(TRIM(INDEX($A193:$AB193,MATCH(Lists!$B$6,$A$1:$AB$1,0))&amp;""),""),IFERROR(TRIM(INDEX($A193:$AB193,MATCH(Lists!$B$4,$A$1:$AB$1,0))&amp;""),"")))</f>
        <v/>
      </c>
      <c r="AU193" s="31">
        <f>IF(AR193="","",IFERROR(TRIM(INDEX($A193:$AB193,MATCH(Lists!$B$7,$A$1:$AB$1,0))&amp;""),""))</f>
        <v/>
      </c>
      <c r="AV193" s="31">
        <f>IF(AR193="","",IFERROR(TRIM(INDEX($A193:$AB193,MATCH(Lists!$B$9,$A$1:$AB$1,0))&amp;""),""))</f>
        <v/>
      </c>
      <c r="AW193" s="31">
        <f>IF(AR193="","",IFERROR(TRIM(INDEX($A193:$AB193,MATCH(Lists!$B$8,$A$1:$AB$1,0))&amp;""),""))</f>
        <v/>
      </c>
      <c r="AX193" s="23">
        <f>IF(AR193="","",IF(OR(TRIM(AE193&amp;"")&lt;&gt;"",AND(Skills!$B$5&lt;&gt;"",ISNUMBER(SEARCH(Skills!$B$5,AU193)))),1,0))</f>
        <v/>
      </c>
      <c r="AY193" s="23">
        <f>IF(AR193="","",IF(OR(TRIM(AF193&amp;"")&lt;&gt;"",AND(Skills!$B$6&lt;&gt;"",ISNUMBER(SEARCH(Skills!$B$6,AU193)))),1,0))</f>
        <v/>
      </c>
      <c r="AZ193" s="23">
        <f>IF(AR193="","",IF(OR(TRIM(AG193&amp;"")&lt;&gt;"",AND(Skills!$B$7&lt;&gt;"",ISNUMBER(SEARCH(Skills!$B$7,AU193)))),1,0))</f>
        <v/>
      </c>
      <c r="BA193" s="23">
        <f>IF(AR193="","",IF(OR(TRIM(AH193&amp;"")&lt;&gt;"",AND(Skills!$B$8&lt;&gt;"",ISNUMBER(SEARCH(Skills!$B$8,AU193)))),1,0))</f>
        <v/>
      </c>
      <c r="BB193" s="23">
        <f>IF(AR193="","",IF(OR(TRIM(AI193&amp;"")&lt;&gt;"",AND(Skills!$B$9&lt;&gt;"",ISNUMBER(SEARCH(Skills!$B$9,AU193)))),1,0))</f>
        <v/>
      </c>
      <c r="BC193" s="23">
        <f>IF(AR193="","",IF(OR(TRIM(AJ193&amp;"")&lt;&gt;"",AND(Skills!$B$10&lt;&gt;"",ISNUMBER(SEARCH(Skills!$B$10,AU193)))),1,0))</f>
        <v/>
      </c>
      <c r="BD193" s="23">
        <f>IF(AR193="","",IF(OR(TRIM(AK193&amp;"")&lt;&gt;"",AND(Skills!$B$11&lt;&gt;"",ISNUMBER(SEARCH(Skills!$B$11,AU193)))),1,0))</f>
        <v/>
      </c>
      <c r="BE193" s="23">
        <f>IF(AR193="","",IF(OR(TRIM(AL193&amp;"")&lt;&gt;"",AND(Skills!$B$12&lt;&gt;"",ISNUMBER(SEARCH(Skills!$B$12,AU193)))),1,0))</f>
        <v/>
      </c>
      <c r="BF193" s="23">
        <f>IF(AR193="","",IF(OR(TRIM(AM193&amp;"")&lt;&gt;"",AND(Skills!$B$13&lt;&gt;"",ISNUMBER(SEARCH(Skills!$B$13,AU193)))),1,0))</f>
        <v/>
      </c>
      <c r="BG193" s="23">
        <f>IF(AR193="","",IF(OR(TRIM(AN193&amp;"")&lt;&gt;"",AND(Skills!$B$14&lt;&gt;"",ISNUMBER(SEARCH(Skills!$B$14,AU193)))),1,0))</f>
        <v/>
      </c>
      <c r="BH193" s="23">
        <f>IF(AR193="","",IF(OR(TRIM(AO193&amp;"")&lt;&gt;"",AND(Skills!$B$15&lt;&gt;"",ISNUMBER(SEARCH(Skills!$B$15,AU193)))),1,0))</f>
        <v/>
      </c>
      <c r="BI193" s="23">
        <f>IF(AR193="","",IF(OR(TRIM(AP193&amp;"")&lt;&gt;"",AND(Skills!$B$16&lt;&gt;"",ISNUMBER(SEARCH(Skills!$B$16,AU193)))),1,0))</f>
        <v/>
      </c>
      <c r="BJ193" s="23">
        <f>IF(AR193="","",SUMPRODUCT($AX193:$BI193,Skills!$B$20:$M$20))</f>
        <v/>
      </c>
      <c r="BK193" s="23">
        <f>IF(AR193="","",BJ193*100000+(100000-ROW()))</f>
        <v/>
      </c>
      <c r="BL193" s="31">
        <f>IF(AR193="","",IF((IF(AND(AX193=1,Skills!$B$20=1),Skills!$B$5&amp;", ","")&amp;IF(AND(AY193=1,Skills!$C$20=1),Skills!$B$6&amp;", ","")&amp;IF(AND(AZ193=1,Skills!$D$20=1),Skills!$B$7&amp;", ","")&amp;IF(AND(BA193=1,Skills!$E$20=1),Skills!$B$8&amp;", ","")&amp;IF(AND(BB193=1,Skills!$F$20=1),Skills!$B$9&amp;", ","")&amp;IF(AND(BC193=1,Skills!$G$20=1),Skills!$B$10&amp;", ","")&amp;IF(AND(BD193=1,Skills!$H$20=1),Skills!$B$11&amp;", ","")&amp;IF(AND(BE193=1,Skills!$I$20=1),Skills!$B$12&amp;", ","")&amp;IF(AND(BF193=1,Skills!$J$20=1),Skills!$B$13&amp;", ","")&amp;IF(AND(BG193=1,Skills!$K$20=1),Skills!$B$14&amp;", ","")&amp;IF(AND(BH193=1,Skills!$L$20=1),Skills!$B$15&amp;", ","")&amp;IF(AND(BI193=1,Skills!$M$20=1),Skills!$B$16&amp;", ",""))="","",LEFT(IF(AND(AX193=1,Skills!$B$20=1),Skills!$B$5&amp;", ","")&amp;IF(AND(AY193=1,Skills!$C$20=1),Skills!$B$6&amp;", ","")&amp;IF(AND(AZ193=1,Skills!$D$20=1),Skills!$B$7&amp;", ","")&amp;IF(AND(BA193=1,Skills!$E$20=1),Skills!$B$8&amp;", ","")&amp;IF(AND(BB193=1,Skills!$F$20=1),Skills!$B$9&amp;", ","")&amp;IF(AND(BC193=1,Skills!$G$20=1),Skills!$B$10&amp;", ","")&amp;IF(AND(BD193=1,Skills!$H$20=1),Skills!$B$11&amp;", ","")&amp;IF(AND(BE193=1,Skills!$I$20=1),Skills!$B$12&amp;", ","")&amp;IF(AND(BF193=1,Skills!$J$20=1),Skills!$B$13&amp;", ","")&amp;IF(AND(BG193=1,Skills!$K$20=1),Skills!$B$14&amp;", ","")&amp;IF(AND(BH193=1,Skills!$L$20=1),Skills!$B$15&amp;", ","")&amp;IF(AND(BI193=1,Skills!$M$20=1),Skills!$B$16&amp;", ",""),LEN(IF(AND(AX193=1,Skills!$B$20=1),Skills!$B$5&amp;", ","")&amp;IF(AND(AY193=1,Skills!$C$20=1),Skills!$B$6&amp;", ","")&amp;IF(AND(AZ193=1,Skills!$D$20=1),Skills!$B$7&amp;", ","")&amp;IF(AND(BA193=1,Skills!$E$20=1),Skills!$B$8&amp;", ","")&amp;IF(AND(BB193=1,Skills!$F$20=1),Skills!$B$9&amp;", ","")&amp;IF(AND(BC193=1,Skills!$G$20=1),Skills!$B$10&amp;", ","")&amp;IF(AND(BD193=1,Skills!$H$20=1),Skills!$B$11&amp;", ","")&amp;IF(AND(BE193=1,Skills!$I$20=1),Skills!$B$12&amp;", ","")&amp;IF(AND(BF193=1,Skills!$J$20=1),Skills!$B$13&amp;", ","")&amp;IF(AND(BG193=1,Skills!$K$20=1),Skills!$B$14&amp;", ","")&amp;IF(AND(BH193=1,Skills!$L$20=1),Skills!$B$15&amp;", ","")&amp;IF(AND(BI193=1,Skills!$M$20=1),Skills!$B$16&amp;", ",""))-2)))</f>
        <v/>
      </c>
    </row>
    <row r="194">
      <c r="AD194" s="20" t="n"/>
      <c r="AE194" s="20" t="n"/>
      <c r="AF194" s="20" t="n"/>
      <c r="AG194" s="20" t="n"/>
      <c r="AH194" s="20" t="n"/>
      <c r="AI194" s="20" t="n"/>
      <c r="AJ194" s="20" t="n"/>
      <c r="AK194" s="20" t="n"/>
      <c r="AL194" s="20" t="n"/>
      <c r="AM194" s="20" t="n"/>
      <c r="AN194" s="20" t="n"/>
      <c r="AO194" s="20" t="n"/>
      <c r="AP194" s="20" t="n"/>
      <c r="AR194" s="31">
        <f>IF(IFERROR(TRIM(INDEX($A194:$AB194,MATCH(Lists!$B$5,$A$1:$AB$1,0))&amp;""),"")&lt;&gt;"",IFERROR(TRIM(INDEX($A194:$AB194,MATCH(Lists!$B$5,$A$1:$AB$1,0))&amp;""),""),IFERROR(TRIM(INDEX($A194:$AB194,MATCH(Lists!$B$3,$A$1:$AB$1,0))&amp;""),""))</f>
        <v/>
      </c>
      <c r="AS194" s="31">
        <f>IF(AR194="","",IF(IFERROR(TRIM(INDEX($A194:$AB194,MATCH(Lists!$B$5,$A$1:$AB$1,0))&amp;""),"")&lt;&gt;"","Nominated","Applied"))</f>
        <v/>
      </c>
      <c r="AT194" s="31">
        <f>IF(AR194="","",IF(IFERROR(TRIM(INDEX($A194:$AB194,MATCH(Lists!$B$5,$A$1:$AB$1,0))&amp;""),"")&lt;&gt;"",IFERROR(TRIM(INDEX($A194:$AB194,MATCH(Lists!$B$6,$A$1:$AB$1,0))&amp;""),""),IFERROR(TRIM(INDEX($A194:$AB194,MATCH(Lists!$B$4,$A$1:$AB$1,0))&amp;""),"")))</f>
        <v/>
      </c>
      <c r="AU194" s="31">
        <f>IF(AR194="","",IFERROR(TRIM(INDEX($A194:$AB194,MATCH(Lists!$B$7,$A$1:$AB$1,0))&amp;""),""))</f>
        <v/>
      </c>
      <c r="AV194" s="31">
        <f>IF(AR194="","",IFERROR(TRIM(INDEX($A194:$AB194,MATCH(Lists!$B$9,$A$1:$AB$1,0))&amp;""),""))</f>
        <v/>
      </c>
      <c r="AW194" s="31">
        <f>IF(AR194="","",IFERROR(TRIM(INDEX($A194:$AB194,MATCH(Lists!$B$8,$A$1:$AB$1,0))&amp;""),""))</f>
        <v/>
      </c>
      <c r="AX194" s="23">
        <f>IF(AR194="","",IF(OR(TRIM(AE194&amp;"")&lt;&gt;"",AND(Skills!$B$5&lt;&gt;"",ISNUMBER(SEARCH(Skills!$B$5,AU194)))),1,0))</f>
        <v/>
      </c>
      <c r="AY194" s="23">
        <f>IF(AR194="","",IF(OR(TRIM(AF194&amp;"")&lt;&gt;"",AND(Skills!$B$6&lt;&gt;"",ISNUMBER(SEARCH(Skills!$B$6,AU194)))),1,0))</f>
        <v/>
      </c>
      <c r="AZ194" s="23">
        <f>IF(AR194="","",IF(OR(TRIM(AG194&amp;"")&lt;&gt;"",AND(Skills!$B$7&lt;&gt;"",ISNUMBER(SEARCH(Skills!$B$7,AU194)))),1,0))</f>
        <v/>
      </c>
      <c r="BA194" s="23">
        <f>IF(AR194="","",IF(OR(TRIM(AH194&amp;"")&lt;&gt;"",AND(Skills!$B$8&lt;&gt;"",ISNUMBER(SEARCH(Skills!$B$8,AU194)))),1,0))</f>
        <v/>
      </c>
      <c r="BB194" s="23">
        <f>IF(AR194="","",IF(OR(TRIM(AI194&amp;"")&lt;&gt;"",AND(Skills!$B$9&lt;&gt;"",ISNUMBER(SEARCH(Skills!$B$9,AU194)))),1,0))</f>
        <v/>
      </c>
      <c r="BC194" s="23">
        <f>IF(AR194="","",IF(OR(TRIM(AJ194&amp;"")&lt;&gt;"",AND(Skills!$B$10&lt;&gt;"",ISNUMBER(SEARCH(Skills!$B$10,AU194)))),1,0))</f>
        <v/>
      </c>
      <c r="BD194" s="23">
        <f>IF(AR194="","",IF(OR(TRIM(AK194&amp;"")&lt;&gt;"",AND(Skills!$B$11&lt;&gt;"",ISNUMBER(SEARCH(Skills!$B$11,AU194)))),1,0))</f>
        <v/>
      </c>
      <c r="BE194" s="23">
        <f>IF(AR194="","",IF(OR(TRIM(AL194&amp;"")&lt;&gt;"",AND(Skills!$B$12&lt;&gt;"",ISNUMBER(SEARCH(Skills!$B$12,AU194)))),1,0))</f>
        <v/>
      </c>
      <c r="BF194" s="23">
        <f>IF(AR194="","",IF(OR(TRIM(AM194&amp;"")&lt;&gt;"",AND(Skills!$B$13&lt;&gt;"",ISNUMBER(SEARCH(Skills!$B$13,AU194)))),1,0))</f>
        <v/>
      </c>
      <c r="BG194" s="23">
        <f>IF(AR194="","",IF(OR(TRIM(AN194&amp;"")&lt;&gt;"",AND(Skills!$B$14&lt;&gt;"",ISNUMBER(SEARCH(Skills!$B$14,AU194)))),1,0))</f>
        <v/>
      </c>
      <c r="BH194" s="23">
        <f>IF(AR194="","",IF(OR(TRIM(AO194&amp;"")&lt;&gt;"",AND(Skills!$B$15&lt;&gt;"",ISNUMBER(SEARCH(Skills!$B$15,AU194)))),1,0))</f>
        <v/>
      </c>
      <c r="BI194" s="23">
        <f>IF(AR194="","",IF(OR(TRIM(AP194&amp;"")&lt;&gt;"",AND(Skills!$B$16&lt;&gt;"",ISNUMBER(SEARCH(Skills!$B$16,AU194)))),1,0))</f>
        <v/>
      </c>
      <c r="BJ194" s="23">
        <f>IF(AR194="","",SUMPRODUCT($AX194:$BI194,Skills!$B$20:$M$20))</f>
        <v/>
      </c>
      <c r="BK194" s="23">
        <f>IF(AR194="","",BJ194*100000+(100000-ROW()))</f>
        <v/>
      </c>
      <c r="BL194" s="31">
        <f>IF(AR194="","",IF((IF(AND(AX194=1,Skills!$B$20=1),Skills!$B$5&amp;", ","")&amp;IF(AND(AY194=1,Skills!$C$20=1),Skills!$B$6&amp;", ","")&amp;IF(AND(AZ194=1,Skills!$D$20=1),Skills!$B$7&amp;", ","")&amp;IF(AND(BA194=1,Skills!$E$20=1),Skills!$B$8&amp;", ","")&amp;IF(AND(BB194=1,Skills!$F$20=1),Skills!$B$9&amp;", ","")&amp;IF(AND(BC194=1,Skills!$G$20=1),Skills!$B$10&amp;", ","")&amp;IF(AND(BD194=1,Skills!$H$20=1),Skills!$B$11&amp;", ","")&amp;IF(AND(BE194=1,Skills!$I$20=1),Skills!$B$12&amp;", ","")&amp;IF(AND(BF194=1,Skills!$J$20=1),Skills!$B$13&amp;", ","")&amp;IF(AND(BG194=1,Skills!$K$20=1),Skills!$B$14&amp;", ","")&amp;IF(AND(BH194=1,Skills!$L$20=1),Skills!$B$15&amp;", ","")&amp;IF(AND(BI194=1,Skills!$M$20=1),Skills!$B$16&amp;", ",""))="","",LEFT(IF(AND(AX194=1,Skills!$B$20=1),Skills!$B$5&amp;", ","")&amp;IF(AND(AY194=1,Skills!$C$20=1),Skills!$B$6&amp;", ","")&amp;IF(AND(AZ194=1,Skills!$D$20=1),Skills!$B$7&amp;", ","")&amp;IF(AND(BA194=1,Skills!$E$20=1),Skills!$B$8&amp;", ","")&amp;IF(AND(BB194=1,Skills!$F$20=1),Skills!$B$9&amp;", ","")&amp;IF(AND(BC194=1,Skills!$G$20=1),Skills!$B$10&amp;", ","")&amp;IF(AND(BD194=1,Skills!$H$20=1),Skills!$B$11&amp;", ","")&amp;IF(AND(BE194=1,Skills!$I$20=1),Skills!$B$12&amp;", ","")&amp;IF(AND(BF194=1,Skills!$J$20=1),Skills!$B$13&amp;", ","")&amp;IF(AND(BG194=1,Skills!$K$20=1),Skills!$B$14&amp;", ","")&amp;IF(AND(BH194=1,Skills!$L$20=1),Skills!$B$15&amp;", ","")&amp;IF(AND(BI194=1,Skills!$M$20=1),Skills!$B$16&amp;", ",""),LEN(IF(AND(AX194=1,Skills!$B$20=1),Skills!$B$5&amp;", ","")&amp;IF(AND(AY194=1,Skills!$C$20=1),Skills!$B$6&amp;", ","")&amp;IF(AND(AZ194=1,Skills!$D$20=1),Skills!$B$7&amp;", ","")&amp;IF(AND(BA194=1,Skills!$E$20=1),Skills!$B$8&amp;", ","")&amp;IF(AND(BB194=1,Skills!$F$20=1),Skills!$B$9&amp;", ","")&amp;IF(AND(BC194=1,Skills!$G$20=1),Skills!$B$10&amp;", ","")&amp;IF(AND(BD194=1,Skills!$H$20=1),Skills!$B$11&amp;", ","")&amp;IF(AND(BE194=1,Skills!$I$20=1),Skills!$B$12&amp;", ","")&amp;IF(AND(BF194=1,Skills!$J$20=1),Skills!$B$13&amp;", ","")&amp;IF(AND(BG194=1,Skills!$K$20=1),Skills!$B$14&amp;", ","")&amp;IF(AND(BH194=1,Skills!$L$20=1),Skills!$B$15&amp;", ","")&amp;IF(AND(BI194=1,Skills!$M$20=1),Skills!$B$16&amp;", ",""))-2)))</f>
        <v/>
      </c>
    </row>
    <row r="195">
      <c r="AD195" s="20" t="n"/>
      <c r="AE195" s="20" t="n"/>
      <c r="AF195" s="20" t="n"/>
      <c r="AG195" s="20" t="n"/>
      <c r="AH195" s="20" t="n"/>
      <c r="AI195" s="20" t="n"/>
      <c r="AJ195" s="20" t="n"/>
      <c r="AK195" s="20" t="n"/>
      <c r="AL195" s="20" t="n"/>
      <c r="AM195" s="20" t="n"/>
      <c r="AN195" s="20" t="n"/>
      <c r="AO195" s="20" t="n"/>
      <c r="AP195" s="20" t="n"/>
      <c r="AR195" s="31">
        <f>IF(IFERROR(TRIM(INDEX($A195:$AB195,MATCH(Lists!$B$5,$A$1:$AB$1,0))&amp;""),"")&lt;&gt;"",IFERROR(TRIM(INDEX($A195:$AB195,MATCH(Lists!$B$5,$A$1:$AB$1,0))&amp;""),""),IFERROR(TRIM(INDEX($A195:$AB195,MATCH(Lists!$B$3,$A$1:$AB$1,0))&amp;""),""))</f>
        <v/>
      </c>
      <c r="AS195" s="31">
        <f>IF(AR195="","",IF(IFERROR(TRIM(INDEX($A195:$AB195,MATCH(Lists!$B$5,$A$1:$AB$1,0))&amp;""),"")&lt;&gt;"","Nominated","Applied"))</f>
        <v/>
      </c>
      <c r="AT195" s="31">
        <f>IF(AR195="","",IF(IFERROR(TRIM(INDEX($A195:$AB195,MATCH(Lists!$B$5,$A$1:$AB$1,0))&amp;""),"")&lt;&gt;"",IFERROR(TRIM(INDEX($A195:$AB195,MATCH(Lists!$B$6,$A$1:$AB$1,0))&amp;""),""),IFERROR(TRIM(INDEX($A195:$AB195,MATCH(Lists!$B$4,$A$1:$AB$1,0))&amp;""),"")))</f>
        <v/>
      </c>
      <c r="AU195" s="31">
        <f>IF(AR195="","",IFERROR(TRIM(INDEX($A195:$AB195,MATCH(Lists!$B$7,$A$1:$AB$1,0))&amp;""),""))</f>
        <v/>
      </c>
      <c r="AV195" s="31">
        <f>IF(AR195="","",IFERROR(TRIM(INDEX($A195:$AB195,MATCH(Lists!$B$9,$A$1:$AB$1,0))&amp;""),""))</f>
        <v/>
      </c>
      <c r="AW195" s="31">
        <f>IF(AR195="","",IFERROR(TRIM(INDEX($A195:$AB195,MATCH(Lists!$B$8,$A$1:$AB$1,0))&amp;""),""))</f>
        <v/>
      </c>
      <c r="AX195" s="23">
        <f>IF(AR195="","",IF(OR(TRIM(AE195&amp;"")&lt;&gt;"",AND(Skills!$B$5&lt;&gt;"",ISNUMBER(SEARCH(Skills!$B$5,AU195)))),1,0))</f>
        <v/>
      </c>
      <c r="AY195" s="23">
        <f>IF(AR195="","",IF(OR(TRIM(AF195&amp;"")&lt;&gt;"",AND(Skills!$B$6&lt;&gt;"",ISNUMBER(SEARCH(Skills!$B$6,AU195)))),1,0))</f>
        <v/>
      </c>
      <c r="AZ195" s="23">
        <f>IF(AR195="","",IF(OR(TRIM(AG195&amp;"")&lt;&gt;"",AND(Skills!$B$7&lt;&gt;"",ISNUMBER(SEARCH(Skills!$B$7,AU195)))),1,0))</f>
        <v/>
      </c>
      <c r="BA195" s="23">
        <f>IF(AR195="","",IF(OR(TRIM(AH195&amp;"")&lt;&gt;"",AND(Skills!$B$8&lt;&gt;"",ISNUMBER(SEARCH(Skills!$B$8,AU195)))),1,0))</f>
        <v/>
      </c>
      <c r="BB195" s="23">
        <f>IF(AR195="","",IF(OR(TRIM(AI195&amp;"")&lt;&gt;"",AND(Skills!$B$9&lt;&gt;"",ISNUMBER(SEARCH(Skills!$B$9,AU195)))),1,0))</f>
        <v/>
      </c>
      <c r="BC195" s="23">
        <f>IF(AR195="","",IF(OR(TRIM(AJ195&amp;"")&lt;&gt;"",AND(Skills!$B$10&lt;&gt;"",ISNUMBER(SEARCH(Skills!$B$10,AU195)))),1,0))</f>
        <v/>
      </c>
      <c r="BD195" s="23">
        <f>IF(AR195="","",IF(OR(TRIM(AK195&amp;"")&lt;&gt;"",AND(Skills!$B$11&lt;&gt;"",ISNUMBER(SEARCH(Skills!$B$11,AU195)))),1,0))</f>
        <v/>
      </c>
      <c r="BE195" s="23">
        <f>IF(AR195="","",IF(OR(TRIM(AL195&amp;"")&lt;&gt;"",AND(Skills!$B$12&lt;&gt;"",ISNUMBER(SEARCH(Skills!$B$12,AU195)))),1,0))</f>
        <v/>
      </c>
      <c r="BF195" s="23">
        <f>IF(AR195="","",IF(OR(TRIM(AM195&amp;"")&lt;&gt;"",AND(Skills!$B$13&lt;&gt;"",ISNUMBER(SEARCH(Skills!$B$13,AU195)))),1,0))</f>
        <v/>
      </c>
      <c r="BG195" s="23">
        <f>IF(AR195="","",IF(OR(TRIM(AN195&amp;"")&lt;&gt;"",AND(Skills!$B$14&lt;&gt;"",ISNUMBER(SEARCH(Skills!$B$14,AU195)))),1,0))</f>
        <v/>
      </c>
      <c r="BH195" s="23">
        <f>IF(AR195="","",IF(OR(TRIM(AO195&amp;"")&lt;&gt;"",AND(Skills!$B$15&lt;&gt;"",ISNUMBER(SEARCH(Skills!$B$15,AU195)))),1,0))</f>
        <v/>
      </c>
      <c r="BI195" s="23">
        <f>IF(AR195="","",IF(OR(TRIM(AP195&amp;"")&lt;&gt;"",AND(Skills!$B$16&lt;&gt;"",ISNUMBER(SEARCH(Skills!$B$16,AU195)))),1,0))</f>
        <v/>
      </c>
      <c r="BJ195" s="23">
        <f>IF(AR195="","",SUMPRODUCT($AX195:$BI195,Skills!$B$20:$M$20))</f>
        <v/>
      </c>
      <c r="BK195" s="23">
        <f>IF(AR195="","",BJ195*100000+(100000-ROW()))</f>
        <v/>
      </c>
      <c r="BL195" s="31">
        <f>IF(AR195="","",IF((IF(AND(AX195=1,Skills!$B$20=1),Skills!$B$5&amp;", ","")&amp;IF(AND(AY195=1,Skills!$C$20=1),Skills!$B$6&amp;", ","")&amp;IF(AND(AZ195=1,Skills!$D$20=1),Skills!$B$7&amp;", ","")&amp;IF(AND(BA195=1,Skills!$E$20=1),Skills!$B$8&amp;", ","")&amp;IF(AND(BB195=1,Skills!$F$20=1),Skills!$B$9&amp;", ","")&amp;IF(AND(BC195=1,Skills!$G$20=1),Skills!$B$10&amp;", ","")&amp;IF(AND(BD195=1,Skills!$H$20=1),Skills!$B$11&amp;", ","")&amp;IF(AND(BE195=1,Skills!$I$20=1),Skills!$B$12&amp;", ","")&amp;IF(AND(BF195=1,Skills!$J$20=1),Skills!$B$13&amp;", ","")&amp;IF(AND(BG195=1,Skills!$K$20=1),Skills!$B$14&amp;", ","")&amp;IF(AND(BH195=1,Skills!$L$20=1),Skills!$B$15&amp;", ","")&amp;IF(AND(BI195=1,Skills!$M$20=1),Skills!$B$16&amp;", ",""))="","",LEFT(IF(AND(AX195=1,Skills!$B$20=1),Skills!$B$5&amp;", ","")&amp;IF(AND(AY195=1,Skills!$C$20=1),Skills!$B$6&amp;", ","")&amp;IF(AND(AZ195=1,Skills!$D$20=1),Skills!$B$7&amp;", ","")&amp;IF(AND(BA195=1,Skills!$E$20=1),Skills!$B$8&amp;", ","")&amp;IF(AND(BB195=1,Skills!$F$20=1),Skills!$B$9&amp;", ","")&amp;IF(AND(BC195=1,Skills!$G$20=1),Skills!$B$10&amp;", ","")&amp;IF(AND(BD195=1,Skills!$H$20=1),Skills!$B$11&amp;", ","")&amp;IF(AND(BE195=1,Skills!$I$20=1),Skills!$B$12&amp;", ","")&amp;IF(AND(BF195=1,Skills!$J$20=1),Skills!$B$13&amp;", ","")&amp;IF(AND(BG195=1,Skills!$K$20=1),Skills!$B$14&amp;", ","")&amp;IF(AND(BH195=1,Skills!$L$20=1),Skills!$B$15&amp;", ","")&amp;IF(AND(BI195=1,Skills!$M$20=1),Skills!$B$16&amp;", ",""),LEN(IF(AND(AX195=1,Skills!$B$20=1),Skills!$B$5&amp;", ","")&amp;IF(AND(AY195=1,Skills!$C$20=1),Skills!$B$6&amp;", ","")&amp;IF(AND(AZ195=1,Skills!$D$20=1),Skills!$B$7&amp;", ","")&amp;IF(AND(BA195=1,Skills!$E$20=1),Skills!$B$8&amp;", ","")&amp;IF(AND(BB195=1,Skills!$F$20=1),Skills!$B$9&amp;", ","")&amp;IF(AND(BC195=1,Skills!$G$20=1),Skills!$B$10&amp;", ","")&amp;IF(AND(BD195=1,Skills!$H$20=1),Skills!$B$11&amp;", ","")&amp;IF(AND(BE195=1,Skills!$I$20=1),Skills!$B$12&amp;", ","")&amp;IF(AND(BF195=1,Skills!$J$20=1),Skills!$B$13&amp;", ","")&amp;IF(AND(BG195=1,Skills!$K$20=1),Skills!$B$14&amp;", ","")&amp;IF(AND(BH195=1,Skills!$L$20=1),Skills!$B$15&amp;", ","")&amp;IF(AND(BI195=1,Skills!$M$20=1),Skills!$B$16&amp;", ",""))-2)))</f>
        <v/>
      </c>
    </row>
    <row r="196">
      <c r="AD196" s="20" t="n"/>
      <c r="AE196" s="20" t="n"/>
      <c r="AF196" s="20" t="n"/>
      <c r="AG196" s="20" t="n"/>
      <c r="AH196" s="20" t="n"/>
      <c r="AI196" s="20" t="n"/>
      <c r="AJ196" s="20" t="n"/>
      <c r="AK196" s="20" t="n"/>
      <c r="AL196" s="20" t="n"/>
      <c r="AM196" s="20" t="n"/>
      <c r="AN196" s="20" t="n"/>
      <c r="AO196" s="20" t="n"/>
      <c r="AP196" s="20" t="n"/>
      <c r="AR196" s="31">
        <f>IF(IFERROR(TRIM(INDEX($A196:$AB196,MATCH(Lists!$B$5,$A$1:$AB$1,0))&amp;""),"")&lt;&gt;"",IFERROR(TRIM(INDEX($A196:$AB196,MATCH(Lists!$B$5,$A$1:$AB$1,0))&amp;""),""),IFERROR(TRIM(INDEX($A196:$AB196,MATCH(Lists!$B$3,$A$1:$AB$1,0))&amp;""),""))</f>
        <v/>
      </c>
      <c r="AS196" s="31">
        <f>IF(AR196="","",IF(IFERROR(TRIM(INDEX($A196:$AB196,MATCH(Lists!$B$5,$A$1:$AB$1,0))&amp;""),"")&lt;&gt;"","Nominated","Applied"))</f>
        <v/>
      </c>
      <c r="AT196" s="31">
        <f>IF(AR196="","",IF(IFERROR(TRIM(INDEX($A196:$AB196,MATCH(Lists!$B$5,$A$1:$AB$1,0))&amp;""),"")&lt;&gt;"",IFERROR(TRIM(INDEX($A196:$AB196,MATCH(Lists!$B$6,$A$1:$AB$1,0))&amp;""),""),IFERROR(TRIM(INDEX($A196:$AB196,MATCH(Lists!$B$4,$A$1:$AB$1,0))&amp;""),"")))</f>
        <v/>
      </c>
      <c r="AU196" s="31">
        <f>IF(AR196="","",IFERROR(TRIM(INDEX($A196:$AB196,MATCH(Lists!$B$7,$A$1:$AB$1,0))&amp;""),""))</f>
        <v/>
      </c>
      <c r="AV196" s="31">
        <f>IF(AR196="","",IFERROR(TRIM(INDEX($A196:$AB196,MATCH(Lists!$B$9,$A$1:$AB$1,0))&amp;""),""))</f>
        <v/>
      </c>
      <c r="AW196" s="31">
        <f>IF(AR196="","",IFERROR(TRIM(INDEX($A196:$AB196,MATCH(Lists!$B$8,$A$1:$AB$1,0))&amp;""),""))</f>
        <v/>
      </c>
      <c r="AX196" s="23">
        <f>IF(AR196="","",IF(OR(TRIM(AE196&amp;"")&lt;&gt;"",AND(Skills!$B$5&lt;&gt;"",ISNUMBER(SEARCH(Skills!$B$5,AU196)))),1,0))</f>
        <v/>
      </c>
      <c r="AY196" s="23">
        <f>IF(AR196="","",IF(OR(TRIM(AF196&amp;"")&lt;&gt;"",AND(Skills!$B$6&lt;&gt;"",ISNUMBER(SEARCH(Skills!$B$6,AU196)))),1,0))</f>
        <v/>
      </c>
      <c r="AZ196" s="23">
        <f>IF(AR196="","",IF(OR(TRIM(AG196&amp;"")&lt;&gt;"",AND(Skills!$B$7&lt;&gt;"",ISNUMBER(SEARCH(Skills!$B$7,AU196)))),1,0))</f>
        <v/>
      </c>
      <c r="BA196" s="23">
        <f>IF(AR196="","",IF(OR(TRIM(AH196&amp;"")&lt;&gt;"",AND(Skills!$B$8&lt;&gt;"",ISNUMBER(SEARCH(Skills!$B$8,AU196)))),1,0))</f>
        <v/>
      </c>
      <c r="BB196" s="23">
        <f>IF(AR196="","",IF(OR(TRIM(AI196&amp;"")&lt;&gt;"",AND(Skills!$B$9&lt;&gt;"",ISNUMBER(SEARCH(Skills!$B$9,AU196)))),1,0))</f>
        <v/>
      </c>
      <c r="BC196" s="23">
        <f>IF(AR196="","",IF(OR(TRIM(AJ196&amp;"")&lt;&gt;"",AND(Skills!$B$10&lt;&gt;"",ISNUMBER(SEARCH(Skills!$B$10,AU196)))),1,0))</f>
        <v/>
      </c>
      <c r="BD196" s="23">
        <f>IF(AR196="","",IF(OR(TRIM(AK196&amp;"")&lt;&gt;"",AND(Skills!$B$11&lt;&gt;"",ISNUMBER(SEARCH(Skills!$B$11,AU196)))),1,0))</f>
        <v/>
      </c>
      <c r="BE196" s="23">
        <f>IF(AR196="","",IF(OR(TRIM(AL196&amp;"")&lt;&gt;"",AND(Skills!$B$12&lt;&gt;"",ISNUMBER(SEARCH(Skills!$B$12,AU196)))),1,0))</f>
        <v/>
      </c>
      <c r="BF196" s="23">
        <f>IF(AR196="","",IF(OR(TRIM(AM196&amp;"")&lt;&gt;"",AND(Skills!$B$13&lt;&gt;"",ISNUMBER(SEARCH(Skills!$B$13,AU196)))),1,0))</f>
        <v/>
      </c>
      <c r="BG196" s="23">
        <f>IF(AR196="","",IF(OR(TRIM(AN196&amp;"")&lt;&gt;"",AND(Skills!$B$14&lt;&gt;"",ISNUMBER(SEARCH(Skills!$B$14,AU196)))),1,0))</f>
        <v/>
      </c>
      <c r="BH196" s="23">
        <f>IF(AR196="","",IF(OR(TRIM(AO196&amp;"")&lt;&gt;"",AND(Skills!$B$15&lt;&gt;"",ISNUMBER(SEARCH(Skills!$B$15,AU196)))),1,0))</f>
        <v/>
      </c>
      <c r="BI196" s="23">
        <f>IF(AR196="","",IF(OR(TRIM(AP196&amp;"")&lt;&gt;"",AND(Skills!$B$16&lt;&gt;"",ISNUMBER(SEARCH(Skills!$B$16,AU196)))),1,0))</f>
        <v/>
      </c>
      <c r="BJ196" s="23">
        <f>IF(AR196="","",SUMPRODUCT($AX196:$BI196,Skills!$B$20:$M$20))</f>
        <v/>
      </c>
      <c r="BK196" s="23">
        <f>IF(AR196="","",BJ196*100000+(100000-ROW()))</f>
        <v/>
      </c>
      <c r="BL196" s="31">
        <f>IF(AR196="","",IF((IF(AND(AX196=1,Skills!$B$20=1),Skills!$B$5&amp;", ","")&amp;IF(AND(AY196=1,Skills!$C$20=1),Skills!$B$6&amp;", ","")&amp;IF(AND(AZ196=1,Skills!$D$20=1),Skills!$B$7&amp;", ","")&amp;IF(AND(BA196=1,Skills!$E$20=1),Skills!$B$8&amp;", ","")&amp;IF(AND(BB196=1,Skills!$F$20=1),Skills!$B$9&amp;", ","")&amp;IF(AND(BC196=1,Skills!$G$20=1),Skills!$B$10&amp;", ","")&amp;IF(AND(BD196=1,Skills!$H$20=1),Skills!$B$11&amp;", ","")&amp;IF(AND(BE196=1,Skills!$I$20=1),Skills!$B$12&amp;", ","")&amp;IF(AND(BF196=1,Skills!$J$20=1),Skills!$B$13&amp;", ","")&amp;IF(AND(BG196=1,Skills!$K$20=1),Skills!$B$14&amp;", ","")&amp;IF(AND(BH196=1,Skills!$L$20=1),Skills!$B$15&amp;", ","")&amp;IF(AND(BI196=1,Skills!$M$20=1),Skills!$B$16&amp;", ",""))="","",LEFT(IF(AND(AX196=1,Skills!$B$20=1),Skills!$B$5&amp;", ","")&amp;IF(AND(AY196=1,Skills!$C$20=1),Skills!$B$6&amp;", ","")&amp;IF(AND(AZ196=1,Skills!$D$20=1),Skills!$B$7&amp;", ","")&amp;IF(AND(BA196=1,Skills!$E$20=1),Skills!$B$8&amp;", ","")&amp;IF(AND(BB196=1,Skills!$F$20=1),Skills!$B$9&amp;", ","")&amp;IF(AND(BC196=1,Skills!$G$20=1),Skills!$B$10&amp;", ","")&amp;IF(AND(BD196=1,Skills!$H$20=1),Skills!$B$11&amp;", ","")&amp;IF(AND(BE196=1,Skills!$I$20=1),Skills!$B$12&amp;", ","")&amp;IF(AND(BF196=1,Skills!$J$20=1),Skills!$B$13&amp;", ","")&amp;IF(AND(BG196=1,Skills!$K$20=1),Skills!$B$14&amp;", ","")&amp;IF(AND(BH196=1,Skills!$L$20=1),Skills!$B$15&amp;", ","")&amp;IF(AND(BI196=1,Skills!$M$20=1),Skills!$B$16&amp;", ",""),LEN(IF(AND(AX196=1,Skills!$B$20=1),Skills!$B$5&amp;", ","")&amp;IF(AND(AY196=1,Skills!$C$20=1),Skills!$B$6&amp;", ","")&amp;IF(AND(AZ196=1,Skills!$D$20=1),Skills!$B$7&amp;", ","")&amp;IF(AND(BA196=1,Skills!$E$20=1),Skills!$B$8&amp;", ","")&amp;IF(AND(BB196=1,Skills!$F$20=1),Skills!$B$9&amp;", ","")&amp;IF(AND(BC196=1,Skills!$G$20=1),Skills!$B$10&amp;", ","")&amp;IF(AND(BD196=1,Skills!$H$20=1),Skills!$B$11&amp;", ","")&amp;IF(AND(BE196=1,Skills!$I$20=1),Skills!$B$12&amp;", ","")&amp;IF(AND(BF196=1,Skills!$J$20=1),Skills!$B$13&amp;", ","")&amp;IF(AND(BG196=1,Skills!$K$20=1),Skills!$B$14&amp;", ","")&amp;IF(AND(BH196=1,Skills!$L$20=1),Skills!$B$15&amp;", ","")&amp;IF(AND(BI196=1,Skills!$M$20=1),Skills!$B$16&amp;", ",""))-2)))</f>
        <v/>
      </c>
    </row>
    <row r="197">
      <c r="AD197" s="20" t="n"/>
      <c r="AE197" s="20" t="n"/>
      <c r="AF197" s="20" t="n"/>
      <c r="AG197" s="20" t="n"/>
      <c r="AH197" s="20" t="n"/>
      <c r="AI197" s="20" t="n"/>
      <c r="AJ197" s="20" t="n"/>
      <c r="AK197" s="20" t="n"/>
      <c r="AL197" s="20" t="n"/>
      <c r="AM197" s="20" t="n"/>
      <c r="AN197" s="20" t="n"/>
      <c r="AO197" s="20" t="n"/>
      <c r="AP197" s="20" t="n"/>
      <c r="AR197" s="31">
        <f>IF(IFERROR(TRIM(INDEX($A197:$AB197,MATCH(Lists!$B$5,$A$1:$AB$1,0))&amp;""),"")&lt;&gt;"",IFERROR(TRIM(INDEX($A197:$AB197,MATCH(Lists!$B$5,$A$1:$AB$1,0))&amp;""),""),IFERROR(TRIM(INDEX($A197:$AB197,MATCH(Lists!$B$3,$A$1:$AB$1,0))&amp;""),""))</f>
        <v/>
      </c>
      <c r="AS197" s="31">
        <f>IF(AR197="","",IF(IFERROR(TRIM(INDEX($A197:$AB197,MATCH(Lists!$B$5,$A$1:$AB$1,0))&amp;""),"")&lt;&gt;"","Nominated","Applied"))</f>
        <v/>
      </c>
      <c r="AT197" s="31">
        <f>IF(AR197="","",IF(IFERROR(TRIM(INDEX($A197:$AB197,MATCH(Lists!$B$5,$A$1:$AB$1,0))&amp;""),"")&lt;&gt;"",IFERROR(TRIM(INDEX($A197:$AB197,MATCH(Lists!$B$6,$A$1:$AB$1,0))&amp;""),""),IFERROR(TRIM(INDEX($A197:$AB197,MATCH(Lists!$B$4,$A$1:$AB$1,0))&amp;""),"")))</f>
        <v/>
      </c>
      <c r="AU197" s="31">
        <f>IF(AR197="","",IFERROR(TRIM(INDEX($A197:$AB197,MATCH(Lists!$B$7,$A$1:$AB$1,0))&amp;""),""))</f>
        <v/>
      </c>
      <c r="AV197" s="31">
        <f>IF(AR197="","",IFERROR(TRIM(INDEX($A197:$AB197,MATCH(Lists!$B$9,$A$1:$AB$1,0))&amp;""),""))</f>
        <v/>
      </c>
      <c r="AW197" s="31">
        <f>IF(AR197="","",IFERROR(TRIM(INDEX($A197:$AB197,MATCH(Lists!$B$8,$A$1:$AB$1,0))&amp;""),""))</f>
        <v/>
      </c>
      <c r="AX197" s="23">
        <f>IF(AR197="","",IF(OR(TRIM(AE197&amp;"")&lt;&gt;"",AND(Skills!$B$5&lt;&gt;"",ISNUMBER(SEARCH(Skills!$B$5,AU197)))),1,0))</f>
        <v/>
      </c>
      <c r="AY197" s="23">
        <f>IF(AR197="","",IF(OR(TRIM(AF197&amp;"")&lt;&gt;"",AND(Skills!$B$6&lt;&gt;"",ISNUMBER(SEARCH(Skills!$B$6,AU197)))),1,0))</f>
        <v/>
      </c>
      <c r="AZ197" s="23">
        <f>IF(AR197="","",IF(OR(TRIM(AG197&amp;"")&lt;&gt;"",AND(Skills!$B$7&lt;&gt;"",ISNUMBER(SEARCH(Skills!$B$7,AU197)))),1,0))</f>
        <v/>
      </c>
      <c r="BA197" s="23">
        <f>IF(AR197="","",IF(OR(TRIM(AH197&amp;"")&lt;&gt;"",AND(Skills!$B$8&lt;&gt;"",ISNUMBER(SEARCH(Skills!$B$8,AU197)))),1,0))</f>
        <v/>
      </c>
      <c r="BB197" s="23">
        <f>IF(AR197="","",IF(OR(TRIM(AI197&amp;"")&lt;&gt;"",AND(Skills!$B$9&lt;&gt;"",ISNUMBER(SEARCH(Skills!$B$9,AU197)))),1,0))</f>
        <v/>
      </c>
      <c r="BC197" s="23">
        <f>IF(AR197="","",IF(OR(TRIM(AJ197&amp;"")&lt;&gt;"",AND(Skills!$B$10&lt;&gt;"",ISNUMBER(SEARCH(Skills!$B$10,AU197)))),1,0))</f>
        <v/>
      </c>
      <c r="BD197" s="23">
        <f>IF(AR197="","",IF(OR(TRIM(AK197&amp;"")&lt;&gt;"",AND(Skills!$B$11&lt;&gt;"",ISNUMBER(SEARCH(Skills!$B$11,AU197)))),1,0))</f>
        <v/>
      </c>
      <c r="BE197" s="23">
        <f>IF(AR197="","",IF(OR(TRIM(AL197&amp;"")&lt;&gt;"",AND(Skills!$B$12&lt;&gt;"",ISNUMBER(SEARCH(Skills!$B$12,AU197)))),1,0))</f>
        <v/>
      </c>
      <c r="BF197" s="23">
        <f>IF(AR197="","",IF(OR(TRIM(AM197&amp;"")&lt;&gt;"",AND(Skills!$B$13&lt;&gt;"",ISNUMBER(SEARCH(Skills!$B$13,AU197)))),1,0))</f>
        <v/>
      </c>
      <c r="BG197" s="23">
        <f>IF(AR197="","",IF(OR(TRIM(AN197&amp;"")&lt;&gt;"",AND(Skills!$B$14&lt;&gt;"",ISNUMBER(SEARCH(Skills!$B$14,AU197)))),1,0))</f>
        <v/>
      </c>
      <c r="BH197" s="23">
        <f>IF(AR197="","",IF(OR(TRIM(AO197&amp;"")&lt;&gt;"",AND(Skills!$B$15&lt;&gt;"",ISNUMBER(SEARCH(Skills!$B$15,AU197)))),1,0))</f>
        <v/>
      </c>
      <c r="BI197" s="23">
        <f>IF(AR197="","",IF(OR(TRIM(AP197&amp;"")&lt;&gt;"",AND(Skills!$B$16&lt;&gt;"",ISNUMBER(SEARCH(Skills!$B$16,AU197)))),1,0))</f>
        <v/>
      </c>
      <c r="BJ197" s="23">
        <f>IF(AR197="","",SUMPRODUCT($AX197:$BI197,Skills!$B$20:$M$20))</f>
        <v/>
      </c>
      <c r="BK197" s="23">
        <f>IF(AR197="","",BJ197*100000+(100000-ROW()))</f>
        <v/>
      </c>
      <c r="BL197" s="31">
        <f>IF(AR197="","",IF((IF(AND(AX197=1,Skills!$B$20=1),Skills!$B$5&amp;", ","")&amp;IF(AND(AY197=1,Skills!$C$20=1),Skills!$B$6&amp;", ","")&amp;IF(AND(AZ197=1,Skills!$D$20=1),Skills!$B$7&amp;", ","")&amp;IF(AND(BA197=1,Skills!$E$20=1),Skills!$B$8&amp;", ","")&amp;IF(AND(BB197=1,Skills!$F$20=1),Skills!$B$9&amp;", ","")&amp;IF(AND(BC197=1,Skills!$G$20=1),Skills!$B$10&amp;", ","")&amp;IF(AND(BD197=1,Skills!$H$20=1),Skills!$B$11&amp;", ","")&amp;IF(AND(BE197=1,Skills!$I$20=1),Skills!$B$12&amp;", ","")&amp;IF(AND(BF197=1,Skills!$J$20=1),Skills!$B$13&amp;", ","")&amp;IF(AND(BG197=1,Skills!$K$20=1),Skills!$B$14&amp;", ","")&amp;IF(AND(BH197=1,Skills!$L$20=1),Skills!$B$15&amp;", ","")&amp;IF(AND(BI197=1,Skills!$M$20=1),Skills!$B$16&amp;", ",""))="","",LEFT(IF(AND(AX197=1,Skills!$B$20=1),Skills!$B$5&amp;", ","")&amp;IF(AND(AY197=1,Skills!$C$20=1),Skills!$B$6&amp;", ","")&amp;IF(AND(AZ197=1,Skills!$D$20=1),Skills!$B$7&amp;", ","")&amp;IF(AND(BA197=1,Skills!$E$20=1),Skills!$B$8&amp;", ","")&amp;IF(AND(BB197=1,Skills!$F$20=1),Skills!$B$9&amp;", ","")&amp;IF(AND(BC197=1,Skills!$G$20=1),Skills!$B$10&amp;", ","")&amp;IF(AND(BD197=1,Skills!$H$20=1),Skills!$B$11&amp;", ","")&amp;IF(AND(BE197=1,Skills!$I$20=1),Skills!$B$12&amp;", ","")&amp;IF(AND(BF197=1,Skills!$J$20=1),Skills!$B$13&amp;", ","")&amp;IF(AND(BG197=1,Skills!$K$20=1),Skills!$B$14&amp;", ","")&amp;IF(AND(BH197=1,Skills!$L$20=1),Skills!$B$15&amp;", ","")&amp;IF(AND(BI197=1,Skills!$M$20=1),Skills!$B$16&amp;", ",""),LEN(IF(AND(AX197=1,Skills!$B$20=1),Skills!$B$5&amp;", ","")&amp;IF(AND(AY197=1,Skills!$C$20=1),Skills!$B$6&amp;", ","")&amp;IF(AND(AZ197=1,Skills!$D$20=1),Skills!$B$7&amp;", ","")&amp;IF(AND(BA197=1,Skills!$E$20=1),Skills!$B$8&amp;", ","")&amp;IF(AND(BB197=1,Skills!$F$20=1),Skills!$B$9&amp;", ","")&amp;IF(AND(BC197=1,Skills!$G$20=1),Skills!$B$10&amp;", ","")&amp;IF(AND(BD197=1,Skills!$H$20=1),Skills!$B$11&amp;", ","")&amp;IF(AND(BE197=1,Skills!$I$20=1),Skills!$B$12&amp;", ","")&amp;IF(AND(BF197=1,Skills!$J$20=1),Skills!$B$13&amp;", ","")&amp;IF(AND(BG197=1,Skills!$K$20=1),Skills!$B$14&amp;", ","")&amp;IF(AND(BH197=1,Skills!$L$20=1),Skills!$B$15&amp;", ","")&amp;IF(AND(BI197=1,Skills!$M$20=1),Skills!$B$16&amp;", ",""))-2)))</f>
        <v/>
      </c>
    </row>
    <row r="198">
      <c r="AD198" s="20" t="n"/>
      <c r="AE198" s="20" t="n"/>
      <c r="AF198" s="20" t="n"/>
      <c r="AG198" s="20" t="n"/>
      <c r="AH198" s="20" t="n"/>
      <c r="AI198" s="20" t="n"/>
      <c r="AJ198" s="20" t="n"/>
      <c r="AK198" s="20" t="n"/>
      <c r="AL198" s="20" t="n"/>
      <c r="AM198" s="20" t="n"/>
      <c r="AN198" s="20" t="n"/>
      <c r="AO198" s="20" t="n"/>
      <c r="AP198" s="20" t="n"/>
      <c r="AR198" s="31">
        <f>IF(IFERROR(TRIM(INDEX($A198:$AB198,MATCH(Lists!$B$5,$A$1:$AB$1,0))&amp;""),"")&lt;&gt;"",IFERROR(TRIM(INDEX($A198:$AB198,MATCH(Lists!$B$5,$A$1:$AB$1,0))&amp;""),""),IFERROR(TRIM(INDEX($A198:$AB198,MATCH(Lists!$B$3,$A$1:$AB$1,0))&amp;""),""))</f>
        <v/>
      </c>
      <c r="AS198" s="31">
        <f>IF(AR198="","",IF(IFERROR(TRIM(INDEX($A198:$AB198,MATCH(Lists!$B$5,$A$1:$AB$1,0))&amp;""),"")&lt;&gt;"","Nominated","Applied"))</f>
        <v/>
      </c>
      <c r="AT198" s="31">
        <f>IF(AR198="","",IF(IFERROR(TRIM(INDEX($A198:$AB198,MATCH(Lists!$B$5,$A$1:$AB$1,0))&amp;""),"")&lt;&gt;"",IFERROR(TRIM(INDEX($A198:$AB198,MATCH(Lists!$B$6,$A$1:$AB$1,0))&amp;""),""),IFERROR(TRIM(INDEX($A198:$AB198,MATCH(Lists!$B$4,$A$1:$AB$1,0))&amp;""),"")))</f>
        <v/>
      </c>
      <c r="AU198" s="31">
        <f>IF(AR198="","",IFERROR(TRIM(INDEX($A198:$AB198,MATCH(Lists!$B$7,$A$1:$AB$1,0))&amp;""),""))</f>
        <v/>
      </c>
      <c r="AV198" s="31">
        <f>IF(AR198="","",IFERROR(TRIM(INDEX($A198:$AB198,MATCH(Lists!$B$9,$A$1:$AB$1,0))&amp;""),""))</f>
        <v/>
      </c>
      <c r="AW198" s="31">
        <f>IF(AR198="","",IFERROR(TRIM(INDEX($A198:$AB198,MATCH(Lists!$B$8,$A$1:$AB$1,0))&amp;""),""))</f>
        <v/>
      </c>
      <c r="AX198" s="23">
        <f>IF(AR198="","",IF(OR(TRIM(AE198&amp;"")&lt;&gt;"",AND(Skills!$B$5&lt;&gt;"",ISNUMBER(SEARCH(Skills!$B$5,AU198)))),1,0))</f>
        <v/>
      </c>
      <c r="AY198" s="23">
        <f>IF(AR198="","",IF(OR(TRIM(AF198&amp;"")&lt;&gt;"",AND(Skills!$B$6&lt;&gt;"",ISNUMBER(SEARCH(Skills!$B$6,AU198)))),1,0))</f>
        <v/>
      </c>
      <c r="AZ198" s="23">
        <f>IF(AR198="","",IF(OR(TRIM(AG198&amp;"")&lt;&gt;"",AND(Skills!$B$7&lt;&gt;"",ISNUMBER(SEARCH(Skills!$B$7,AU198)))),1,0))</f>
        <v/>
      </c>
      <c r="BA198" s="23">
        <f>IF(AR198="","",IF(OR(TRIM(AH198&amp;"")&lt;&gt;"",AND(Skills!$B$8&lt;&gt;"",ISNUMBER(SEARCH(Skills!$B$8,AU198)))),1,0))</f>
        <v/>
      </c>
      <c r="BB198" s="23">
        <f>IF(AR198="","",IF(OR(TRIM(AI198&amp;"")&lt;&gt;"",AND(Skills!$B$9&lt;&gt;"",ISNUMBER(SEARCH(Skills!$B$9,AU198)))),1,0))</f>
        <v/>
      </c>
      <c r="BC198" s="23">
        <f>IF(AR198="","",IF(OR(TRIM(AJ198&amp;"")&lt;&gt;"",AND(Skills!$B$10&lt;&gt;"",ISNUMBER(SEARCH(Skills!$B$10,AU198)))),1,0))</f>
        <v/>
      </c>
      <c r="BD198" s="23">
        <f>IF(AR198="","",IF(OR(TRIM(AK198&amp;"")&lt;&gt;"",AND(Skills!$B$11&lt;&gt;"",ISNUMBER(SEARCH(Skills!$B$11,AU198)))),1,0))</f>
        <v/>
      </c>
      <c r="BE198" s="23">
        <f>IF(AR198="","",IF(OR(TRIM(AL198&amp;"")&lt;&gt;"",AND(Skills!$B$12&lt;&gt;"",ISNUMBER(SEARCH(Skills!$B$12,AU198)))),1,0))</f>
        <v/>
      </c>
      <c r="BF198" s="23">
        <f>IF(AR198="","",IF(OR(TRIM(AM198&amp;"")&lt;&gt;"",AND(Skills!$B$13&lt;&gt;"",ISNUMBER(SEARCH(Skills!$B$13,AU198)))),1,0))</f>
        <v/>
      </c>
      <c r="BG198" s="23">
        <f>IF(AR198="","",IF(OR(TRIM(AN198&amp;"")&lt;&gt;"",AND(Skills!$B$14&lt;&gt;"",ISNUMBER(SEARCH(Skills!$B$14,AU198)))),1,0))</f>
        <v/>
      </c>
      <c r="BH198" s="23">
        <f>IF(AR198="","",IF(OR(TRIM(AO198&amp;"")&lt;&gt;"",AND(Skills!$B$15&lt;&gt;"",ISNUMBER(SEARCH(Skills!$B$15,AU198)))),1,0))</f>
        <v/>
      </c>
      <c r="BI198" s="23">
        <f>IF(AR198="","",IF(OR(TRIM(AP198&amp;"")&lt;&gt;"",AND(Skills!$B$16&lt;&gt;"",ISNUMBER(SEARCH(Skills!$B$16,AU198)))),1,0))</f>
        <v/>
      </c>
      <c r="BJ198" s="23">
        <f>IF(AR198="","",SUMPRODUCT($AX198:$BI198,Skills!$B$20:$M$20))</f>
        <v/>
      </c>
      <c r="BK198" s="23">
        <f>IF(AR198="","",BJ198*100000+(100000-ROW()))</f>
        <v/>
      </c>
      <c r="BL198" s="31">
        <f>IF(AR198="","",IF((IF(AND(AX198=1,Skills!$B$20=1),Skills!$B$5&amp;", ","")&amp;IF(AND(AY198=1,Skills!$C$20=1),Skills!$B$6&amp;", ","")&amp;IF(AND(AZ198=1,Skills!$D$20=1),Skills!$B$7&amp;", ","")&amp;IF(AND(BA198=1,Skills!$E$20=1),Skills!$B$8&amp;", ","")&amp;IF(AND(BB198=1,Skills!$F$20=1),Skills!$B$9&amp;", ","")&amp;IF(AND(BC198=1,Skills!$G$20=1),Skills!$B$10&amp;", ","")&amp;IF(AND(BD198=1,Skills!$H$20=1),Skills!$B$11&amp;", ","")&amp;IF(AND(BE198=1,Skills!$I$20=1),Skills!$B$12&amp;", ","")&amp;IF(AND(BF198=1,Skills!$J$20=1),Skills!$B$13&amp;", ","")&amp;IF(AND(BG198=1,Skills!$K$20=1),Skills!$B$14&amp;", ","")&amp;IF(AND(BH198=1,Skills!$L$20=1),Skills!$B$15&amp;", ","")&amp;IF(AND(BI198=1,Skills!$M$20=1),Skills!$B$16&amp;", ",""))="","",LEFT(IF(AND(AX198=1,Skills!$B$20=1),Skills!$B$5&amp;", ","")&amp;IF(AND(AY198=1,Skills!$C$20=1),Skills!$B$6&amp;", ","")&amp;IF(AND(AZ198=1,Skills!$D$20=1),Skills!$B$7&amp;", ","")&amp;IF(AND(BA198=1,Skills!$E$20=1),Skills!$B$8&amp;", ","")&amp;IF(AND(BB198=1,Skills!$F$20=1),Skills!$B$9&amp;", ","")&amp;IF(AND(BC198=1,Skills!$G$20=1),Skills!$B$10&amp;", ","")&amp;IF(AND(BD198=1,Skills!$H$20=1),Skills!$B$11&amp;", ","")&amp;IF(AND(BE198=1,Skills!$I$20=1),Skills!$B$12&amp;", ","")&amp;IF(AND(BF198=1,Skills!$J$20=1),Skills!$B$13&amp;", ","")&amp;IF(AND(BG198=1,Skills!$K$20=1),Skills!$B$14&amp;", ","")&amp;IF(AND(BH198=1,Skills!$L$20=1),Skills!$B$15&amp;", ","")&amp;IF(AND(BI198=1,Skills!$M$20=1),Skills!$B$16&amp;", ",""),LEN(IF(AND(AX198=1,Skills!$B$20=1),Skills!$B$5&amp;", ","")&amp;IF(AND(AY198=1,Skills!$C$20=1),Skills!$B$6&amp;", ","")&amp;IF(AND(AZ198=1,Skills!$D$20=1),Skills!$B$7&amp;", ","")&amp;IF(AND(BA198=1,Skills!$E$20=1),Skills!$B$8&amp;", ","")&amp;IF(AND(BB198=1,Skills!$F$20=1),Skills!$B$9&amp;", ","")&amp;IF(AND(BC198=1,Skills!$G$20=1),Skills!$B$10&amp;", ","")&amp;IF(AND(BD198=1,Skills!$H$20=1),Skills!$B$11&amp;", ","")&amp;IF(AND(BE198=1,Skills!$I$20=1),Skills!$B$12&amp;", ","")&amp;IF(AND(BF198=1,Skills!$J$20=1),Skills!$B$13&amp;", ","")&amp;IF(AND(BG198=1,Skills!$K$20=1),Skills!$B$14&amp;", ","")&amp;IF(AND(BH198=1,Skills!$L$20=1),Skills!$B$15&amp;", ","")&amp;IF(AND(BI198=1,Skills!$M$20=1),Skills!$B$16&amp;", ",""))-2)))</f>
        <v/>
      </c>
    </row>
    <row r="199">
      <c r="AD199" s="20" t="n"/>
      <c r="AE199" s="20" t="n"/>
      <c r="AF199" s="20" t="n"/>
      <c r="AG199" s="20" t="n"/>
      <c r="AH199" s="20" t="n"/>
      <c r="AI199" s="20" t="n"/>
      <c r="AJ199" s="20" t="n"/>
      <c r="AK199" s="20" t="n"/>
      <c r="AL199" s="20" t="n"/>
      <c r="AM199" s="20" t="n"/>
      <c r="AN199" s="20" t="n"/>
      <c r="AO199" s="20" t="n"/>
      <c r="AP199" s="20" t="n"/>
      <c r="AR199" s="31">
        <f>IF(IFERROR(TRIM(INDEX($A199:$AB199,MATCH(Lists!$B$5,$A$1:$AB$1,0))&amp;""),"")&lt;&gt;"",IFERROR(TRIM(INDEX($A199:$AB199,MATCH(Lists!$B$5,$A$1:$AB$1,0))&amp;""),""),IFERROR(TRIM(INDEX($A199:$AB199,MATCH(Lists!$B$3,$A$1:$AB$1,0))&amp;""),""))</f>
        <v/>
      </c>
      <c r="AS199" s="31">
        <f>IF(AR199="","",IF(IFERROR(TRIM(INDEX($A199:$AB199,MATCH(Lists!$B$5,$A$1:$AB$1,0))&amp;""),"")&lt;&gt;"","Nominated","Applied"))</f>
        <v/>
      </c>
      <c r="AT199" s="31">
        <f>IF(AR199="","",IF(IFERROR(TRIM(INDEX($A199:$AB199,MATCH(Lists!$B$5,$A$1:$AB$1,0))&amp;""),"")&lt;&gt;"",IFERROR(TRIM(INDEX($A199:$AB199,MATCH(Lists!$B$6,$A$1:$AB$1,0))&amp;""),""),IFERROR(TRIM(INDEX($A199:$AB199,MATCH(Lists!$B$4,$A$1:$AB$1,0))&amp;""),"")))</f>
        <v/>
      </c>
      <c r="AU199" s="31">
        <f>IF(AR199="","",IFERROR(TRIM(INDEX($A199:$AB199,MATCH(Lists!$B$7,$A$1:$AB$1,0))&amp;""),""))</f>
        <v/>
      </c>
      <c r="AV199" s="31">
        <f>IF(AR199="","",IFERROR(TRIM(INDEX($A199:$AB199,MATCH(Lists!$B$9,$A$1:$AB$1,0))&amp;""),""))</f>
        <v/>
      </c>
      <c r="AW199" s="31">
        <f>IF(AR199="","",IFERROR(TRIM(INDEX($A199:$AB199,MATCH(Lists!$B$8,$A$1:$AB$1,0))&amp;""),""))</f>
        <v/>
      </c>
      <c r="AX199" s="23">
        <f>IF(AR199="","",IF(OR(TRIM(AE199&amp;"")&lt;&gt;"",AND(Skills!$B$5&lt;&gt;"",ISNUMBER(SEARCH(Skills!$B$5,AU199)))),1,0))</f>
        <v/>
      </c>
      <c r="AY199" s="23">
        <f>IF(AR199="","",IF(OR(TRIM(AF199&amp;"")&lt;&gt;"",AND(Skills!$B$6&lt;&gt;"",ISNUMBER(SEARCH(Skills!$B$6,AU199)))),1,0))</f>
        <v/>
      </c>
      <c r="AZ199" s="23">
        <f>IF(AR199="","",IF(OR(TRIM(AG199&amp;"")&lt;&gt;"",AND(Skills!$B$7&lt;&gt;"",ISNUMBER(SEARCH(Skills!$B$7,AU199)))),1,0))</f>
        <v/>
      </c>
      <c r="BA199" s="23">
        <f>IF(AR199="","",IF(OR(TRIM(AH199&amp;"")&lt;&gt;"",AND(Skills!$B$8&lt;&gt;"",ISNUMBER(SEARCH(Skills!$B$8,AU199)))),1,0))</f>
        <v/>
      </c>
      <c r="BB199" s="23">
        <f>IF(AR199="","",IF(OR(TRIM(AI199&amp;"")&lt;&gt;"",AND(Skills!$B$9&lt;&gt;"",ISNUMBER(SEARCH(Skills!$B$9,AU199)))),1,0))</f>
        <v/>
      </c>
      <c r="BC199" s="23">
        <f>IF(AR199="","",IF(OR(TRIM(AJ199&amp;"")&lt;&gt;"",AND(Skills!$B$10&lt;&gt;"",ISNUMBER(SEARCH(Skills!$B$10,AU199)))),1,0))</f>
        <v/>
      </c>
      <c r="BD199" s="23">
        <f>IF(AR199="","",IF(OR(TRIM(AK199&amp;"")&lt;&gt;"",AND(Skills!$B$11&lt;&gt;"",ISNUMBER(SEARCH(Skills!$B$11,AU199)))),1,0))</f>
        <v/>
      </c>
      <c r="BE199" s="23">
        <f>IF(AR199="","",IF(OR(TRIM(AL199&amp;"")&lt;&gt;"",AND(Skills!$B$12&lt;&gt;"",ISNUMBER(SEARCH(Skills!$B$12,AU199)))),1,0))</f>
        <v/>
      </c>
      <c r="BF199" s="23">
        <f>IF(AR199="","",IF(OR(TRIM(AM199&amp;"")&lt;&gt;"",AND(Skills!$B$13&lt;&gt;"",ISNUMBER(SEARCH(Skills!$B$13,AU199)))),1,0))</f>
        <v/>
      </c>
      <c r="BG199" s="23">
        <f>IF(AR199="","",IF(OR(TRIM(AN199&amp;"")&lt;&gt;"",AND(Skills!$B$14&lt;&gt;"",ISNUMBER(SEARCH(Skills!$B$14,AU199)))),1,0))</f>
        <v/>
      </c>
      <c r="BH199" s="23">
        <f>IF(AR199="","",IF(OR(TRIM(AO199&amp;"")&lt;&gt;"",AND(Skills!$B$15&lt;&gt;"",ISNUMBER(SEARCH(Skills!$B$15,AU199)))),1,0))</f>
        <v/>
      </c>
      <c r="BI199" s="23">
        <f>IF(AR199="","",IF(OR(TRIM(AP199&amp;"")&lt;&gt;"",AND(Skills!$B$16&lt;&gt;"",ISNUMBER(SEARCH(Skills!$B$16,AU199)))),1,0))</f>
        <v/>
      </c>
      <c r="BJ199" s="23">
        <f>IF(AR199="","",SUMPRODUCT($AX199:$BI199,Skills!$B$20:$M$20))</f>
        <v/>
      </c>
      <c r="BK199" s="23">
        <f>IF(AR199="","",BJ199*100000+(100000-ROW()))</f>
        <v/>
      </c>
      <c r="BL199" s="31">
        <f>IF(AR199="","",IF((IF(AND(AX199=1,Skills!$B$20=1),Skills!$B$5&amp;", ","")&amp;IF(AND(AY199=1,Skills!$C$20=1),Skills!$B$6&amp;", ","")&amp;IF(AND(AZ199=1,Skills!$D$20=1),Skills!$B$7&amp;", ","")&amp;IF(AND(BA199=1,Skills!$E$20=1),Skills!$B$8&amp;", ","")&amp;IF(AND(BB199=1,Skills!$F$20=1),Skills!$B$9&amp;", ","")&amp;IF(AND(BC199=1,Skills!$G$20=1),Skills!$B$10&amp;", ","")&amp;IF(AND(BD199=1,Skills!$H$20=1),Skills!$B$11&amp;", ","")&amp;IF(AND(BE199=1,Skills!$I$20=1),Skills!$B$12&amp;", ","")&amp;IF(AND(BF199=1,Skills!$J$20=1),Skills!$B$13&amp;", ","")&amp;IF(AND(BG199=1,Skills!$K$20=1),Skills!$B$14&amp;", ","")&amp;IF(AND(BH199=1,Skills!$L$20=1),Skills!$B$15&amp;", ","")&amp;IF(AND(BI199=1,Skills!$M$20=1),Skills!$B$16&amp;", ",""))="","",LEFT(IF(AND(AX199=1,Skills!$B$20=1),Skills!$B$5&amp;", ","")&amp;IF(AND(AY199=1,Skills!$C$20=1),Skills!$B$6&amp;", ","")&amp;IF(AND(AZ199=1,Skills!$D$20=1),Skills!$B$7&amp;", ","")&amp;IF(AND(BA199=1,Skills!$E$20=1),Skills!$B$8&amp;", ","")&amp;IF(AND(BB199=1,Skills!$F$20=1),Skills!$B$9&amp;", ","")&amp;IF(AND(BC199=1,Skills!$G$20=1),Skills!$B$10&amp;", ","")&amp;IF(AND(BD199=1,Skills!$H$20=1),Skills!$B$11&amp;", ","")&amp;IF(AND(BE199=1,Skills!$I$20=1),Skills!$B$12&amp;", ","")&amp;IF(AND(BF199=1,Skills!$J$20=1),Skills!$B$13&amp;", ","")&amp;IF(AND(BG199=1,Skills!$K$20=1),Skills!$B$14&amp;", ","")&amp;IF(AND(BH199=1,Skills!$L$20=1),Skills!$B$15&amp;", ","")&amp;IF(AND(BI199=1,Skills!$M$20=1),Skills!$B$16&amp;", ",""),LEN(IF(AND(AX199=1,Skills!$B$20=1),Skills!$B$5&amp;", ","")&amp;IF(AND(AY199=1,Skills!$C$20=1),Skills!$B$6&amp;", ","")&amp;IF(AND(AZ199=1,Skills!$D$20=1),Skills!$B$7&amp;", ","")&amp;IF(AND(BA199=1,Skills!$E$20=1),Skills!$B$8&amp;", ","")&amp;IF(AND(BB199=1,Skills!$F$20=1),Skills!$B$9&amp;", ","")&amp;IF(AND(BC199=1,Skills!$G$20=1),Skills!$B$10&amp;", ","")&amp;IF(AND(BD199=1,Skills!$H$20=1),Skills!$B$11&amp;", ","")&amp;IF(AND(BE199=1,Skills!$I$20=1),Skills!$B$12&amp;", ","")&amp;IF(AND(BF199=1,Skills!$J$20=1),Skills!$B$13&amp;", ","")&amp;IF(AND(BG199=1,Skills!$K$20=1),Skills!$B$14&amp;", ","")&amp;IF(AND(BH199=1,Skills!$L$20=1),Skills!$B$15&amp;", ","")&amp;IF(AND(BI199=1,Skills!$M$20=1),Skills!$B$16&amp;", ",""))-2)))</f>
        <v/>
      </c>
    </row>
    <row r="200">
      <c r="AD200" s="20" t="n"/>
      <c r="AE200" s="20" t="n"/>
      <c r="AF200" s="20" t="n"/>
      <c r="AG200" s="20" t="n"/>
      <c r="AH200" s="20" t="n"/>
      <c r="AI200" s="20" t="n"/>
      <c r="AJ200" s="20" t="n"/>
      <c r="AK200" s="20" t="n"/>
      <c r="AL200" s="20" t="n"/>
      <c r="AM200" s="20" t="n"/>
      <c r="AN200" s="20" t="n"/>
      <c r="AO200" s="20" t="n"/>
      <c r="AP200" s="20" t="n"/>
      <c r="AR200" s="31">
        <f>IF(IFERROR(TRIM(INDEX($A200:$AB200,MATCH(Lists!$B$5,$A$1:$AB$1,0))&amp;""),"")&lt;&gt;"",IFERROR(TRIM(INDEX($A200:$AB200,MATCH(Lists!$B$5,$A$1:$AB$1,0))&amp;""),""),IFERROR(TRIM(INDEX($A200:$AB200,MATCH(Lists!$B$3,$A$1:$AB$1,0))&amp;""),""))</f>
        <v/>
      </c>
      <c r="AS200" s="31">
        <f>IF(AR200="","",IF(IFERROR(TRIM(INDEX($A200:$AB200,MATCH(Lists!$B$5,$A$1:$AB$1,0))&amp;""),"")&lt;&gt;"","Nominated","Applied"))</f>
        <v/>
      </c>
      <c r="AT200" s="31">
        <f>IF(AR200="","",IF(IFERROR(TRIM(INDEX($A200:$AB200,MATCH(Lists!$B$5,$A$1:$AB$1,0))&amp;""),"")&lt;&gt;"",IFERROR(TRIM(INDEX($A200:$AB200,MATCH(Lists!$B$6,$A$1:$AB$1,0))&amp;""),""),IFERROR(TRIM(INDEX($A200:$AB200,MATCH(Lists!$B$4,$A$1:$AB$1,0))&amp;""),"")))</f>
        <v/>
      </c>
      <c r="AU200" s="31">
        <f>IF(AR200="","",IFERROR(TRIM(INDEX($A200:$AB200,MATCH(Lists!$B$7,$A$1:$AB$1,0))&amp;""),""))</f>
        <v/>
      </c>
      <c r="AV200" s="31">
        <f>IF(AR200="","",IFERROR(TRIM(INDEX($A200:$AB200,MATCH(Lists!$B$9,$A$1:$AB$1,0))&amp;""),""))</f>
        <v/>
      </c>
      <c r="AW200" s="31">
        <f>IF(AR200="","",IFERROR(TRIM(INDEX($A200:$AB200,MATCH(Lists!$B$8,$A$1:$AB$1,0))&amp;""),""))</f>
        <v/>
      </c>
      <c r="AX200" s="23">
        <f>IF(AR200="","",IF(OR(TRIM(AE200&amp;"")&lt;&gt;"",AND(Skills!$B$5&lt;&gt;"",ISNUMBER(SEARCH(Skills!$B$5,AU200)))),1,0))</f>
        <v/>
      </c>
      <c r="AY200" s="23">
        <f>IF(AR200="","",IF(OR(TRIM(AF200&amp;"")&lt;&gt;"",AND(Skills!$B$6&lt;&gt;"",ISNUMBER(SEARCH(Skills!$B$6,AU200)))),1,0))</f>
        <v/>
      </c>
      <c r="AZ200" s="23">
        <f>IF(AR200="","",IF(OR(TRIM(AG200&amp;"")&lt;&gt;"",AND(Skills!$B$7&lt;&gt;"",ISNUMBER(SEARCH(Skills!$B$7,AU200)))),1,0))</f>
        <v/>
      </c>
      <c r="BA200" s="23">
        <f>IF(AR200="","",IF(OR(TRIM(AH200&amp;"")&lt;&gt;"",AND(Skills!$B$8&lt;&gt;"",ISNUMBER(SEARCH(Skills!$B$8,AU200)))),1,0))</f>
        <v/>
      </c>
      <c r="BB200" s="23">
        <f>IF(AR200="","",IF(OR(TRIM(AI200&amp;"")&lt;&gt;"",AND(Skills!$B$9&lt;&gt;"",ISNUMBER(SEARCH(Skills!$B$9,AU200)))),1,0))</f>
        <v/>
      </c>
      <c r="BC200" s="23">
        <f>IF(AR200="","",IF(OR(TRIM(AJ200&amp;"")&lt;&gt;"",AND(Skills!$B$10&lt;&gt;"",ISNUMBER(SEARCH(Skills!$B$10,AU200)))),1,0))</f>
        <v/>
      </c>
      <c r="BD200" s="23">
        <f>IF(AR200="","",IF(OR(TRIM(AK200&amp;"")&lt;&gt;"",AND(Skills!$B$11&lt;&gt;"",ISNUMBER(SEARCH(Skills!$B$11,AU200)))),1,0))</f>
        <v/>
      </c>
      <c r="BE200" s="23">
        <f>IF(AR200="","",IF(OR(TRIM(AL200&amp;"")&lt;&gt;"",AND(Skills!$B$12&lt;&gt;"",ISNUMBER(SEARCH(Skills!$B$12,AU200)))),1,0))</f>
        <v/>
      </c>
      <c r="BF200" s="23">
        <f>IF(AR200="","",IF(OR(TRIM(AM200&amp;"")&lt;&gt;"",AND(Skills!$B$13&lt;&gt;"",ISNUMBER(SEARCH(Skills!$B$13,AU200)))),1,0))</f>
        <v/>
      </c>
      <c r="BG200" s="23">
        <f>IF(AR200="","",IF(OR(TRIM(AN200&amp;"")&lt;&gt;"",AND(Skills!$B$14&lt;&gt;"",ISNUMBER(SEARCH(Skills!$B$14,AU200)))),1,0))</f>
        <v/>
      </c>
      <c r="BH200" s="23">
        <f>IF(AR200="","",IF(OR(TRIM(AO200&amp;"")&lt;&gt;"",AND(Skills!$B$15&lt;&gt;"",ISNUMBER(SEARCH(Skills!$B$15,AU200)))),1,0))</f>
        <v/>
      </c>
      <c r="BI200" s="23">
        <f>IF(AR200="","",IF(OR(TRIM(AP200&amp;"")&lt;&gt;"",AND(Skills!$B$16&lt;&gt;"",ISNUMBER(SEARCH(Skills!$B$16,AU200)))),1,0))</f>
        <v/>
      </c>
      <c r="BJ200" s="23">
        <f>IF(AR200="","",SUMPRODUCT($AX200:$BI200,Skills!$B$20:$M$20))</f>
        <v/>
      </c>
      <c r="BK200" s="23">
        <f>IF(AR200="","",BJ200*100000+(100000-ROW()))</f>
        <v/>
      </c>
      <c r="BL200" s="31">
        <f>IF(AR200="","",IF((IF(AND(AX200=1,Skills!$B$20=1),Skills!$B$5&amp;", ","")&amp;IF(AND(AY200=1,Skills!$C$20=1),Skills!$B$6&amp;", ","")&amp;IF(AND(AZ200=1,Skills!$D$20=1),Skills!$B$7&amp;", ","")&amp;IF(AND(BA200=1,Skills!$E$20=1),Skills!$B$8&amp;", ","")&amp;IF(AND(BB200=1,Skills!$F$20=1),Skills!$B$9&amp;", ","")&amp;IF(AND(BC200=1,Skills!$G$20=1),Skills!$B$10&amp;", ","")&amp;IF(AND(BD200=1,Skills!$H$20=1),Skills!$B$11&amp;", ","")&amp;IF(AND(BE200=1,Skills!$I$20=1),Skills!$B$12&amp;", ","")&amp;IF(AND(BF200=1,Skills!$J$20=1),Skills!$B$13&amp;", ","")&amp;IF(AND(BG200=1,Skills!$K$20=1),Skills!$B$14&amp;", ","")&amp;IF(AND(BH200=1,Skills!$L$20=1),Skills!$B$15&amp;", ","")&amp;IF(AND(BI200=1,Skills!$M$20=1),Skills!$B$16&amp;", ",""))="","",LEFT(IF(AND(AX200=1,Skills!$B$20=1),Skills!$B$5&amp;", ","")&amp;IF(AND(AY200=1,Skills!$C$20=1),Skills!$B$6&amp;", ","")&amp;IF(AND(AZ200=1,Skills!$D$20=1),Skills!$B$7&amp;", ","")&amp;IF(AND(BA200=1,Skills!$E$20=1),Skills!$B$8&amp;", ","")&amp;IF(AND(BB200=1,Skills!$F$20=1),Skills!$B$9&amp;", ","")&amp;IF(AND(BC200=1,Skills!$G$20=1),Skills!$B$10&amp;", ","")&amp;IF(AND(BD200=1,Skills!$H$20=1),Skills!$B$11&amp;", ","")&amp;IF(AND(BE200=1,Skills!$I$20=1),Skills!$B$12&amp;", ","")&amp;IF(AND(BF200=1,Skills!$J$20=1),Skills!$B$13&amp;", ","")&amp;IF(AND(BG200=1,Skills!$K$20=1),Skills!$B$14&amp;", ","")&amp;IF(AND(BH200=1,Skills!$L$20=1),Skills!$B$15&amp;", ","")&amp;IF(AND(BI200=1,Skills!$M$20=1),Skills!$B$16&amp;", ",""),LEN(IF(AND(AX200=1,Skills!$B$20=1),Skills!$B$5&amp;", ","")&amp;IF(AND(AY200=1,Skills!$C$20=1),Skills!$B$6&amp;", ","")&amp;IF(AND(AZ200=1,Skills!$D$20=1),Skills!$B$7&amp;", ","")&amp;IF(AND(BA200=1,Skills!$E$20=1),Skills!$B$8&amp;", ","")&amp;IF(AND(BB200=1,Skills!$F$20=1),Skills!$B$9&amp;", ","")&amp;IF(AND(BC200=1,Skills!$G$20=1),Skills!$B$10&amp;", ","")&amp;IF(AND(BD200=1,Skills!$H$20=1),Skills!$B$11&amp;", ","")&amp;IF(AND(BE200=1,Skills!$I$20=1),Skills!$B$12&amp;", ","")&amp;IF(AND(BF200=1,Skills!$J$20=1),Skills!$B$13&amp;", ","")&amp;IF(AND(BG200=1,Skills!$K$20=1),Skills!$B$14&amp;", ","")&amp;IF(AND(BH200=1,Skills!$L$20=1),Skills!$B$15&amp;", ","")&amp;IF(AND(BI200=1,Skills!$M$20=1),Skills!$B$16&amp;", ",""))-2)))</f>
        <v/>
      </c>
    </row>
    <row r="201">
      <c r="AD201" s="20" t="n"/>
      <c r="AE201" s="20" t="n"/>
      <c r="AF201" s="20" t="n"/>
      <c r="AG201" s="20" t="n"/>
      <c r="AH201" s="20" t="n"/>
      <c r="AI201" s="20" t="n"/>
      <c r="AJ201" s="20" t="n"/>
      <c r="AK201" s="20" t="n"/>
      <c r="AL201" s="20" t="n"/>
      <c r="AM201" s="20" t="n"/>
      <c r="AN201" s="20" t="n"/>
      <c r="AO201" s="20" t="n"/>
      <c r="AP201" s="20" t="n"/>
      <c r="AR201" s="31">
        <f>IF(IFERROR(TRIM(INDEX($A201:$AB201,MATCH(Lists!$B$5,$A$1:$AB$1,0))&amp;""),"")&lt;&gt;"",IFERROR(TRIM(INDEX($A201:$AB201,MATCH(Lists!$B$5,$A$1:$AB$1,0))&amp;""),""),IFERROR(TRIM(INDEX($A201:$AB201,MATCH(Lists!$B$3,$A$1:$AB$1,0))&amp;""),""))</f>
        <v/>
      </c>
      <c r="AS201" s="31">
        <f>IF(AR201="","",IF(IFERROR(TRIM(INDEX($A201:$AB201,MATCH(Lists!$B$5,$A$1:$AB$1,0))&amp;""),"")&lt;&gt;"","Nominated","Applied"))</f>
        <v/>
      </c>
      <c r="AT201" s="31">
        <f>IF(AR201="","",IF(IFERROR(TRIM(INDEX($A201:$AB201,MATCH(Lists!$B$5,$A$1:$AB$1,0))&amp;""),"")&lt;&gt;"",IFERROR(TRIM(INDEX($A201:$AB201,MATCH(Lists!$B$6,$A$1:$AB$1,0))&amp;""),""),IFERROR(TRIM(INDEX($A201:$AB201,MATCH(Lists!$B$4,$A$1:$AB$1,0))&amp;""),"")))</f>
        <v/>
      </c>
      <c r="AU201" s="31">
        <f>IF(AR201="","",IFERROR(TRIM(INDEX($A201:$AB201,MATCH(Lists!$B$7,$A$1:$AB$1,0))&amp;""),""))</f>
        <v/>
      </c>
      <c r="AV201" s="31">
        <f>IF(AR201="","",IFERROR(TRIM(INDEX($A201:$AB201,MATCH(Lists!$B$9,$A$1:$AB$1,0))&amp;""),""))</f>
        <v/>
      </c>
      <c r="AW201" s="31">
        <f>IF(AR201="","",IFERROR(TRIM(INDEX($A201:$AB201,MATCH(Lists!$B$8,$A$1:$AB$1,0))&amp;""),""))</f>
        <v/>
      </c>
      <c r="AX201" s="23">
        <f>IF(AR201="","",IF(OR(TRIM(AE201&amp;"")&lt;&gt;"",AND(Skills!$B$5&lt;&gt;"",ISNUMBER(SEARCH(Skills!$B$5,AU201)))),1,0))</f>
        <v/>
      </c>
      <c r="AY201" s="23">
        <f>IF(AR201="","",IF(OR(TRIM(AF201&amp;"")&lt;&gt;"",AND(Skills!$B$6&lt;&gt;"",ISNUMBER(SEARCH(Skills!$B$6,AU201)))),1,0))</f>
        <v/>
      </c>
      <c r="AZ201" s="23">
        <f>IF(AR201="","",IF(OR(TRIM(AG201&amp;"")&lt;&gt;"",AND(Skills!$B$7&lt;&gt;"",ISNUMBER(SEARCH(Skills!$B$7,AU201)))),1,0))</f>
        <v/>
      </c>
      <c r="BA201" s="23">
        <f>IF(AR201="","",IF(OR(TRIM(AH201&amp;"")&lt;&gt;"",AND(Skills!$B$8&lt;&gt;"",ISNUMBER(SEARCH(Skills!$B$8,AU201)))),1,0))</f>
        <v/>
      </c>
      <c r="BB201" s="23">
        <f>IF(AR201="","",IF(OR(TRIM(AI201&amp;"")&lt;&gt;"",AND(Skills!$B$9&lt;&gt;"",ISNUMBER(SEARCH(Skills!$B$9,AU201)))),1,0))</f>
        <v/>
      </c>
      <c r="BC201" s="23">
        <f>IF(AR201="","",IF(OR(TRIM(AJ201&amp;"")&lt;&gt;"",AND(Skills!$B$10&lt;&gt;"",ISNUMBER(SEARCH(Skills!$B$10,AU201)))),1,0))</f>
        <v/>
      </c>
      <c r="BD201" s="23">
        <f>IF(AR201="","",IF(OR(TRIM(AK201&amp;"")&lt;&gt;"",AND(Skills!$B$11&lt;&gt;"",ISNUMBER(SEARCH(Skills!$B$11,AU201)))),1,0))</f>
        <v/>
      </c>
      <c r="BE201" s="23">
        <f>IF(AR201="","",IF(OR(TRIM(AL201&amp;"")&lt;&gt;"",AND(Skills!$B$12&lt;&gt;"",ISNUMBER(SEARCH(Skills!$B$12,AU201)))),1,0))</f>
        <v/>
      </c>
      <c r="BF201" s="23">
        <f>IF(AR201="","",IF(OR(TRIM(AM201&amp;"")&lt;&gt;"",AND(Skills!$B$13&lt;&gt;"",ISNUMBER(SEARCH(Skills!$B$13,AU201)))),1,0))</f>
        <v/>
      </c>
      <c r="BG201" s="23">
        <f>IF(AR201="","",IF(OR(TRIM(AN201&amp;"")&lt;&gt;"",AND(Skills!$B$14&lt;&gt;"",ISNUMBER(SEARCH(Skills!$B$14,AU201)))),1,0))</f>
        <v/>
      </c>
      <c r="BH201" s="23">
        <f>IF(AR201="","",IF(OR(TRIM(AO201&amp;"")&lt;&gt;"",AND(Skills!$B$15&lt;&gt;"",ISNUMBER(SEARCH(Skills!$B$15,AU201)))),1,0))</f>
        <v/>
      </c>
      <c r="BI201" s="23">
        <f>IF(AR201="","",IF(OR(TRIM(AP201&amp;"")&lt;&gt;"",AND(Skills!$B$16&lt;&gt;"",ISNUMBER(SEARCH(Skills!$B$16,AU201)))),1,0))</f>
        <v/>
      </c>
      <c r="BJ201" s="23">
        <f>IF(AR201="","",SUMPRODUCT($AX201:$BI201,Skills!$B$20:$M$20))</f>
        <v/>
      </c>
      <c r="BK201" s="23">
        <f>IF(AR201="","",BJ201*100000+(100000-ROW()))</f>
        <v/>
      </c>
      <c r="BL201" s="31">
        <f>IF(AR201="","",IF((IF(AND(AX201=1,Skills!$B$20=1),Skills!$B$5&amp;", ","")&amp;IF(AND(AY201=1,Skills!$C$20=1),Skills!$B$6&amp;", ","")&amp;IF(AND(AZ201=1,Skills!$D$20=1),Skills!$B$7&amp;", ","")&amp;IF(AND(BA201=1,Skills!$E$20=1),Skills!$B$8&amp;", ","")&amp;IF(AND(BB201=1,Skills!$F$20=1),Skills!$B$9&amp;", ","")&amp;IF(AND(BC201=1,Skills!$G$20=1),Skills!$B$10&amp;", ","")&amp;IF(AND(BD201=1,Skills!$H$20=1),Skills!$B$11&amp;", ","")&amp;IF(AND(BE201=1,Skills!$I$20=1),Skills!$B$12&amp;", ","")&amp;IF(AND(BF201=1,Skills!$J$20=1),Skills!$B$13&amp;", ","")&amp;IF(AND(BG201=1,Skills!$K$20=1),Skills!$B$14&amp;", ","")&amp;IF(AND(BH201=1,Skills!$L$20=1),Skills!$B$15&amp;", ","")&amp;IF(AND(BI201=1,Skills!$M$20=1),Skills!$B$16&amp;", ",""))="","",LEFT(IF(AND(AX201=1,Skills!$B$20=1),Skills!$B$5&amp;", ","")&amp;IF(AND(AY201=1,Skills!$C$20=1),Skills!$B$6&amp;", ","")&amp;IF(AND(AZ201=1,Skills!$D$20=1),Skills!$B$7&amp;", ","")&amp;IF(AND(BA201=1,Skills!$E$20=1),Skills!$B$8&amp;", ","")&amp;IF(AND(BB201=1,Skills!$F$20=1),Skills!$B$9&amp;", ","")&amp;IF(AND(BC201=1,Skills!$G$20=1),Skills!$B$10&amp;", ","")&amp;IF(AND(BD201=1,Skills!$H$20=1),Skills!$B$11&amp;", ","")&amp;IF(AND(BE201=1,Skills!$I$20=1),Skills!$B$12&amp;", ","")&amp;IF(AND(BF201=1,Skills!$J$20=1),Skills!$B$13&amp;", ","")&amp;IF(AND(BG201=1,Skills!$K$20=1),Skills!$B$14&amp;", ","")&amp;IF(AND(BH201=1,Skills!$L$20=1),Skills!$B$15&amp;", ","")&amp;IF(AND(BI201=1,Skills!$M$20=1),Skills!$B$16&amp;", ",""),LEN(IF(AND(AX201=1,Skills!$B$20=1),Skills!$B$5&amp;", ","")&amp;IF(AND(AY201=1,Skills!$C$20=1),Skills!$B$6&amp;", ","")&amp;IF(AND(AZ201=1,Skills!$D$20=1),Skills!$B$7&amp;", ","")&amp;IF(AND(BA201=1,Skills!$E$20=1),Skills!$B$8&amp;", ","")&amp;IF(AND(BB201=1,Skills!$F$20=1),Skills!$B$9&amp;", ","")&amp;IF(AND(BC201=1,Skills!$G$20=1),Skills!$B$10&amp;", ","")&amp;IF(AND(BD201=1,Skills!$H$20=1),Skills!$B$11&amp;", ","")&amp;IF(AND(BE201=1,Skills!$I$20=1),Skills!$B$12&amp;", ","")&amp;IF(AND(BF201=1,Skills!$J$20=1),Skills!$B$13&amp;", ","")&amp;IF(AND(BG201=1,Skills!$K$20=1),Skills!$B$14&amp;", ","")&amp;IF(AND(BH201=1,Skills!$L$20=1),Skills!$B$15&amp;", ","")&amp;IF(AND(BI201=1,Skills!$M$20=1),Skills!$B$16&amp;", ",""))-2)))</f>
        <v/>
      </c>
    </row>
    <row r="202">
      <c r="AD202" s="20" t="n"/>
      <c r="AE202" s="20" t="n"/>
      <c r="AF202" s="20" t="n"/>
      <c r="AG202" s="20" t="n"/>
      <c r="AH202" s="20" t="n"/>
      <c r="AI202" s="20" t="n"/>
      <c r="AJ202" s="20" t="n"/>
      <c r="AK202" s="20" t="n"/>
      <c r="AL202" s="20" t="n"/>
      <c r="AM202" s="20" t="n"/>
      <c r="AN202" s="20" t="n"/>
      <c r="AO202" s="20" t="n"/>
      <c r="AP202" s="20" t="n"/>
      <c r="AR202" s="31">
        <f>IF(IFERROR(TRIM(INDEX($A202:$AB202,MATCH(Lists!$B$5,$A$1:$AB$1,0))&amp;""),"")&lt;&gt;"",IFERROR(TRIM(INDEX($A202:$AB202,MATCH(Lists!$B$5,$A$1:$AB$1,0))&amp;""),""),IFERROR(TRIM(INDEX($A202:$AB202,MATCH(Lists!$B$3,$A$1:$AB$1,0))&amp;""),""))</f>
        <v/>
      </c>
      <c r="AS202" s="31">
        <f>IF(AR202="","",IF(IFERROR(TRIM(INDEX($A202:$AB202,MATCH(Lists!$B$5,$A$1:$AB$1,0))&amp;""),"")&lt;&gt;"","Nominated","Applied"))</f>
        <v/>
      </c>
      <c r="AT202" s="31">
        <f>IF(AR202="","",IF(IFERROR(TRIM(INDEX($A202:$AB202,MATCH(Lists!$B$5,$A$1:$AB$1,0))&amp;""),"")&lt;&gt;"",IFERROR(TRIM(INDEX($A202:$AB202,MATCH(Lists!$B$6,$A$1:$AB$1,0))&amp;""),""),IFERROR(TRIM(INDEX($A202:$AB202,MATCH(Lists!$B$4,$A$1:$AB$1,0))&amp;""),"")))</f>
        <v/>
      </c>
      <c r="AU202" s="31">
        <f>IF(AR202="","",IFERROR(TRIM(INDEX($A202:$AB202,MATCH(Lists!$B$7,$A$1:$AB$1,0))&amp;""),""))</f>
        <v/>
      </c>
      <c r="AV202" s="31">
        <f>IF(AR202="","",IFERROR(TRIM(INDEX($A202:$AB202,MATCH(Lists!$B$9,$A$1:$AB$1,0))&amp;""),""))</f>
        <v/>
      </c>
      <c r="AW202" s="31">
        <f>IF(AR202="","",IFERROR(TRIM(INDEX($A202:$AB202,MATCH(Lists!$B$8,$A$1:$AB$1,0))&amp;""),""))</f>
        <v/>
      </c>
      <c r="AX202" s="23">
        <f>IF(AR202="","",IF(OR(TRIM(AE202&amp;"")&lt;&gt;"",AND(Skills!$B$5&lt;&gt;"",ISNUMBER(SEARCH(Skills!$B$5,AU202)))),1,0))</f>
        <v/>
      </c>
      <c r="AY202" s="23">
        <f>IF(AR202="","",IF(OR(TRIM(AF202&amp;"")&lt;&gt;"",AND(Skills!$B$6&lt;&gt;"",ISNUMBER(SEARCH(Skills!$B$6,AU202)))),1,0))</f>
        <v/>
      </c>
      <c r="AZ202" s="23">
        <f>IF(AR202="","",IF(OR(TRIM(AG202&amp;"")&lt;&gt;"",AND(Skills!$B$7&lt;&gt;"",ISNUMBER(SEARCH(Skills!$B$7,AU202)))),1,0))</f>
        <v/>
      </c>
      <c r="BA202" s="23">
        <f>IF(AR202="","",IF(OR(TRIM(AH202&amp;"")&lt;&gt;"",AND(Skills!$B$8&lt;&gt;"",ISNUMBER(SEARCH(Skills!$B$8,AU202)))),1,0))</f>
        <v/>
      </c>
      <c r="BB202" s="23">
        <f>IF(AR202="","",IF(OR(TRIM(AI202&amp;"")&lt;&gt;"",AND(Skills!$B$9&lt;&gt;"",ISNUMBER(SEARCH(Skills!$B$9,AU202)))),1,0))</f>
        <v/>
      </c>
      <c r="BC202" s="23">
        <f>IF(AR202="","",IF(OR(TRIM(AJ202&amp;"")&lt;&gt;"",AND(Skills!$B$10&lt;&gt;"",ISNUMBER(SEARCH(Skills!$B$10,AU202)))),1,0))</f>
        <v/>
      </c>
      <c r="BD202" s="23">
        <f>IF(AR202="","",IF(OR(TRIM(AK202&amp;"")&lt;&gt;"",AND(Skills!$B$11&lt;&gt;"",ISNUMBER(SEARCH(Skills!$B$11,AU202)))),1,0))</f>
        <v/>
      </c>
      <c r="BE202" s="23">
        <f>IF(AR202="","",IF(OR(TRIM(AL202&amp;"")&lt;&gt;"",AND(Skills!$B$12&lt;&gt;"",ISNUMBER(SEARCH(Skills!$B$12,AU202)))),1,0))</f>
        <v/>
      </c>
      <c r="BF202" s="23">
        <f>IF(AR202="","",IF(OR(TRIM(AM202&amp;"")&lt;&gt;"",AND(Skills!$B$13&lt;&gt;"",ISNUMBER(SEARCH(Skills!$B$13,AU202)))),1,0))</f>
        <v/>
      </c>
      <c r="BG202" s="23">
        <f>IF(AR202="","",IF(OR(TRIM(AN202&amp;"")&lt;&gt;"",AND(Skills!$B$14&lt;&gt;"",ISNUMBER(SEARCH(Skills!$B$14,AU202)))),1,0))</f>
        <v/>
      </c>
      <c r="BH202" s="23">
        <f>IF(AR202="","",IF(OR(TRIM(AO202&amp;"")&lt;&gt;"",AND(Skills!$B$15&lt;&gt;"",ISNUMBER(SEARCH(Skills!$B$15,AU202)))),1,0))</f>
        <v/>
      </c>
      <c r="BI202" s="23">
        <f>IF(AR202="","",IF(OR(TRIM(AP202&amp;"")&lt;&gt;"",AND(Skills!$B$16&lt;&gt;"",ISNUMBER(SEARCH(Skills!$B$16,AU202)))),1,0))</f>
        <v/>
      </c>
      <c r="BJ202" s="23">
        <f>IF(AR202="","",SUMPRODUCT($AX202:$BI202,Skills!$B$20:$M$20))</f>
        <v/>
      </c>
      <c r="BK202" s="23">
        <f>IF(AR202="","",BJ202*100000+(100000-ROW()))</f>
        <v/>
      </c>
      <c r="BL202" s="31">
        <f>IF(AR202="","",IF((IF(AND(AX202=1,Skills!$B$20=1),Skills!$B$5&amp;", ","")&amp;IF(AND(AY202=1,Skills!$C$20=1),Skills!$B$6&amp;", ","")&amp;IF(AND(AZ202=1,Skills!$D$20=1),Skills!$B$7&amp;", ","")&amp;IF(AND(BA202=1,Skills!$E$20=1),Skills!$B$8&amp;", ","")&amp;IF(AND(BB202=1,Skills!$F$20=1),Skills!$B$9&amp;", ","")&amp;IF(AND(BC202=1,Skills!$G$20=1),Skills!$B$10&amp;", ","")&amp;IF(AND(BD202=1,Skills!$H$20=1),Skills!$B$11&amp;", ","")&amp;IF(AND(BE202=1,Skills!$I$20=1),Skills!$B$12&amp;", ","")&amp;IF(AND(BF202=1,Skills!$J$20=1),Skills!$B$13&amp;", ","")&amp;IF(AND(BG202=1,Skills!$K$20=1),Skills!$B$14&amp;", ","")&amp;IF(AND(BH202=1,Skills!$L$20=1),Skills!$B$15&amp;", ","")&amp;IF(AND(BI202=1,Skills!$M$20=1),Skills!$B$16&amp;", ",""))="","",LEFT(IF(AND(AX202=1,Skills!$B$20=1),Skills!$B$5&amp;", ","")&amp;IF(AND(AY202=1,Skills!$C$20=1),Skills!$B$6&amp;", ","")&amp;IF(AND(AZ202=1,Skills!$D$20=1),Skills!$B$7&amp;", ","")&amp;IF(AND(BA202=1,Skills!$E$20=1),Skills!$B$8&amp;", ","")&amp;IF(AND(BB202=1,Skills!$F$20=1),Skills!$B$9&amp;", ","")&amp;IF(AND(BC202=1,Skills!$G$20=1),Skills!$B$10&amp;", ","")&amp;IF(AND(BD202=1,Skills!$H$20=1),Skills!$B$11&amp;", ","")&amp;IF(AND(BE202=1,Skills!$I$20=1),Skills!$B$12&amp;", ","")&amp;IF(AND(BF202=1,Skills!$J$20=1),Skills!$B$13&amp;", ","")&amp;IF(AND(BG202=1,Skills!$K$20=1),Skills!$B$14&amp;", ","")&amp;IF(AND(BH202=1,Skills!$L$20=1),Skills!$B$15&amp;", ","")&amp;IF(AND(BI202=1,Skills!$M$20=1),Skills!$B$16&amp;", ",""),LEN(IF(AND(AX202=1,Skills!$B$20=1),Skills!$B$5&amp;", ","")&amp;IF(AND(AY202=1,Skills!$C$20=1),Skills!$B$6&amp;", ","")&amp;IF(AND(AZ202=1,Skills!$D$20=1),Skills!$B$7&amp;", ","")&amp;IF(AND(BA202=1,Skills!$E$20=1),Skills!$B$8&amp;", ","")&amp;IF(AND(BB202=1,Skills!$F$20=1),Skills!$B$9&amp;", ","")&amp;IF(AND(BC202=1,Skills!$G$20=1),Skills!$B$10&amp;", ","")&amp;IF(AND(BD202=1,Skills!$H$20=1),Skills!$B$11&amp;", ","")&amp;IF(AND(BE202=1,Skills!$I$20=1),Skills!$B$12&amp;", ","")&amp;IF(AND(BF202=1,Skills!$J$20=1),Skills!$B$13&amp;", ","")&amp;IF(AND(BG202=1,Skills!$K$20=1),Skills!$B$14&amp;", ","")&amp;IF(AND(BH202=1,Skills!$L$20=1),Skills!$B$15&amp;", ","")&amp;IF(AND(BI202=1,Skills!$M$20=1),Skills!$B$16&amp;", ",""))-2)))</f>
        <v/>
      </c>
    </row>
    <row r="203">
      <c r="AD203" s="20" t="n"/>
      <c r="AE203" s="20" t="n"/>
      <c r="AF203" s="20" t="n"/>
      <c r="AG203" s="20" t="n"/>
      <c r="AH203" s="20" t="n"/>
      <c r="AI203" s="20" t="n"/>
      <c r="AJ203" s="20" t="n"/>
      <c r="AK203" s="20" t="n"/>
      <c r="AL203" s="20" t="n"/>
      <c r="AM203" s="20" t="n"/>
      <c r="AN203" s="20" t="n"/>
      <c r="AO203" s="20" t="n"/>
      <c r="AP203" s="20" t="n"/>
      <c r="AR203" s="31">
        <f>IF(IFERROR(TRIM(INDEX($A203:$AB203,MATCH(Lists!$B$5,$A$1:$AB$1,0))&amp;""),"")&lt;&gt;"",IFERROR(TRIM(INDEX($A203:$AB203,MATCH(Lists!$B$5,$A$1:$AB$1,0))&amp;""),""),IFERROR(TRIM(INDEX($A203:$AB203,MATCH(Lists!$B$3,$A$1:$AB$1,0))&amp;""),""))</f>
        <v/>
      </c>
      <c r="AS203" s="31">
        <f>IF(AR203="","",IF(IFERROR(TRIM(INDEX($A203:$AB203,MATCH(Lists!$B$5,$A$1:$AB$1,0))&amp;""),"")&lt;&gt;"","Nominated","Applied"))</f>
        <v/>
      </c>
      <c r="AT203" s="31">
        <f>IF(AR203="","",IF(IFERROR(TRIM(INDEX($A203:$AB203,MATCH(Lists!$B$5,$A$1:$AB$1,0))&amp;""),"")&lt;&gt;"",IFERROR(TRIM(INDEX($A203:$AB203,MATCH(Lists!$B$6,$A$1:$AB$1,0))&amp;""),""),IFERROR(TRIM(INDEX($A203:$AB203,MATCH(Lists!$B$4,$A$1:$AB$1,0))&amp;""),"")))</f>
        <v/>
      </c>
      <c r="AU203" s="31">
        <f>IF(AR203="","",IFERROR(TRIM(INDEX($A203:$AB203,MATCH(Lists!$B$7,$A$1:$AB$1,0))&amp;""),""))</f>
        <v/>
      </c>
      <c r="AV203" s="31">
        <f>IF(AR203="","",IFERROR(TRIM(INDEX($A203:$AB203,MATCH(Lists!$B$9,$A$1:$AB$1,0))&amp;""),""))</f>
        <v/>
      </c>
      <c r="AW203" s="31">
        <f>IF(AR203="","",IFERROR(TRIM(INDEX($A203:$AB203,MATCH(Lists!$B$8,$A$1:$AB$1,0))&amp;""),""))</f>
        <v/>
      </c>
      <c r="AX203" s="23">
        <f>IF(AR203="","",IF(OR(TRIM(AE203&amp;"")&lt;&gt;"",AND(Skills!$B$5&lt;&gt;"",ISNUMBER(SEARCH(Skills!$B$5,AU203)))),1,0))</f>
        <v/>
      </c>
      <c r="AY203" s="23">
        <f>IF(AR203="","",IF(OR(TRIM(AF203&amp;"")&lt;&gt;"",AND(Skills!$B$6&lt;&gt;"",ISNUMBER(SEARCH(Skills!$B$6,AU203)))),1,0))</f>
        <v/>
      </c>
      <c r="AZ203" s="23">
        <f>IF(AR203="","",IF(OR(TRIM(AG203&amp;"")&lt;&gt;"",AND(Skills!$B$7&lt;&gt;"",ISNUMBER(SEARCH(Skills!$B$7,AU203)))),1,0))</f>
        <v/>
      </c>
      <c r="BA203" s="23">
        <f>IF(AR203="","",IF(OR(TRIM(AH203&amp;"")&lt;&gt;"",AND(Skills!$B$8&lt;&gt;"",ISNUMBER(SEARCH(Skills!$B$8,AU203)))),1,0))</f>
        <v/>
      </c>
      <c r="BB203" s="23">
        <f>IF(AR203="","",IF(OR(TRIM(AI203&amp;"")&lt;&gt;"",AND(Skills!$B$9&lt;&gt;"",ISNUMBER(SEARCH(Skills!$B$9,AU203)))),1,0))</f>
        <v/>
      </c>
      <c r="BC203" s="23">
        <f>IF(AR203="","",IF(OR(TRIM(AJ203&amp;"")&lt;&gt;"",AND(Skills!$B$10&lt;&gt;"",ISNUMBER(SEARCH(Skills!$B$10,AU203)))),1,0))</f>
        <v/>
      </c>
      <c r="BD203" s="23">
        <f>IF(AR203="","",IF(OR(TRIM(AK203&amp;"")&lt;&gt;"",AND(Skills!$B$11&lt;&gt;"",ISNUMBER(SEARCH(Skills!$B$11,AU203)))),1,0))</f>
        <v/>
      </c>
      <c r="BE203" s="23">
        <f>IF(AR203="","",IF(OR(TRIM(AL203&amp;"")&lt;&gt;"",AND(Skills!$B$12&lt;&gt;"",ISNUMBER(SEARCH(Skills!$B$12,AU203)))),1,0))</f>
        <v/>
      </c>
      <c r="BF203" s="23">
        <f>IF(AR203="","",IF(OR(TRIM(AM203&amp;"")&lt;&gt;"",AND(Skills!$B$13&lt;&gt;"",ISNUMBER(SEARCH(Skills!$B$13,AU203)))),1,0))</f>
        <v/>
      </c>
      <c r="BG203" s="23">
        <f>IF(AR203="","",IF(OR(TRIM(AN203&amp;"")&lt;&gt;"",AND(Skills!$B$14&lt;&gt;"",ISNUMBER(SEARCH(Skills!$B$14,AU203)))),1,0))</f>
        <v/>
      </c>
      <c r="BH203" s="23">
        <f>IF(AR203="","",IF(OR(TRIM(AO203&amp;"")&lt;&gt;"",AND(Skills!$B$15&lt;&gt;"",ISNUMBER(SEARCH(Skills!$B$15,AU203)))),1,0))</f>
        <v/>
      </c>
      <c r="BI203" s="23">
        <f>IF(AR203="","",IF(OR(TRIM(AP203&amp;"")&lt;&gt;"",AND(Skills!$B$16&lt;&gt;"",ISNUMBER(SEARCH(Skills!$B$16,AU203)))),1,0))</f>
        <v/>
      </c>
      <c r="BJ203" s="23">
        <f>IF(AR203="","",SUMPRODUCT($AX203:$BI203,Skills!$B$20:$M$20))</f>
        <v/>
      </c>
      <c r="BK203" s="23">
        <f>IF(AR203="","",BJ203*100000+(100000-ROW()))</f>
        <v/>
      </c>
      <c r="BL203" s="31">
        <f>IF(AR203="","",IF((IF(AND(AX203=1,Skills!$B$20=1),Skills!$B$5&amp;", ","")&amp;IF(AND(AY203=1,Skills!$C$20=1),Skills!$B$6&amp;", ","")&amp;IF(AND(AZ203=1,Skills!$D$20=1),Skills!$B$7&amp;", ","")&amp;IF(AND(BA203=1,Skills!$E$20=1),Skills!$B$8&amp;", ","")&amp;IF(AND(BB203=1,Skills!$F$20=1),Skills!$B$9&amp;", ","")&amp;IF(AND(BC203=1,Skills!$G$20=1),Skills!$B$10&amp;", ","")&amp;IF(AND(BD203=1,Skills!$H$20=1),Skills!$B$11&amp;", ","")&amp;IF(AND(BE203=1,Skills!$I$20=1),Skills!$B$12&amp;", ","")&amp;IF(AND(BF203=1,Skills!$J$20=1),Skills!$B$13&amp;", ","")&amp;IF(AND(BG203=1,Skills!$K$20=1),Skills!$B$14&amp;", ","")&amp;IF(AND(BH203=1,Skills!$L$20=1),Skills!$B$15&amp;", ","")&amp;IF(AND(BI203=1,Skills!$M$20=1),Skills!$B$16&amp;", ",""))="","",LEFT(IF(AND(AX203=1,Skills!$B$20=1),Skills!$B$5&amp;", ","")&amp;IF(AND(AY203=1,Skills!$C$20=1),Skills!$B$6&amp;", ","")&amp;IF(AND(AZ203=1,Skills!$D$20=1),Skills!$B$7&amp;", ","")&amp;IF(AND(BA203=1,Skills!$E$20=1),Skills!$B$8&amp;", ","")&amp;IF(AND(BB203=1,Skills!$F$20=1),Skills!$B$9&amp;", ","")&amp;IF(AND(BC203=1,Skills!$G$20=1),Skills!$B$10&amp;", ","")&amp;IF(AND(BD203=1,Skills!$H$20=1),Skills!$B$11&amp;", ","")&amp;IF(AND(BE203=1,Skills!$I$20=1),Skills!$B$12&amp;", ","")&amp;IF(AND(BF203=1,Skills!$J$20=1),Skills!$B$13&amp;", ","")&amp;IF(AND(BG203=1,Skills!$K$20=1),Skills!$B$14&amp;", ","")&amp;IF(AND(BH203=1,Skills!$L$20=1),Skills!$B$15&amp;", ","")&amp;IF(AND(BI203=1,Skills!$M$20=1),Skills!$B$16&amp;", ",""),LEN(IF(AND(AX203=1,Skills!$B$20=1),Skills!$B$5&amp;", ","")&amp;IF(AND(AY203=1,Skills!$C$20=1),Skills!$B$6&amp;", ","")&amp;IF(AND(AZ203=1,Skills!$D$20=1),Skills!$B$7&amp;", ","")&amp;IF(AND(BA203=1,Skills!$E$20=1),Skills!$B$8&amp;", ","")&amp;IF(AND(BB203=1,Skills!$F$20=1),Skills!$B$9&amp;", ","")&amp;IF(AND(BC203=1,Skills!$G$20=1),Skills!$B$10&amp;", ","")&amp;IF(AND(BD203=1,Skills!$H$20=1),Skills!$B$11&amp;", ","")&amp;IF(AND(BE203=1,Skills!$I$20=1),Skills!$B$12&amp;", ","")&amp;IF(AND(BF203=1,Skills!$J$20=1),Skills!$B$13&amp;", ","")&amp;IF(AND(BG203=1,Skills!$K$20=1),Skills!$B$14&amp;", ","")&amp;IF(AND(BH203=1,Skills!$L$20=1),Skills!$B$15&amp;", ","")&amp;IF(AND(BI203=1,Skills!$M$20=1),Skills!$B$16&amp;", ",""))-2)))</f>
        <v/>
      </c>
    </row>
    <row r="204">
      <c r="AD204" s="20" t="n"/>
      <c r="AE204" s="20" t="n"/>
      <c r="AF204" s="20" t="n"/>
      <c r="AG204" s="20" t="n"/>
      <c r="AH204" s="20" t="n"/>
      <c r="AI204" s="20" t="n"/>
      <c r="AJ204" s="20" t="n"/>
      <c r="AK204" s="20" t="n"/>
      <c r="AL204" s="20" t="n"/>
      <c r="AM204" s="20" t="n"/>
      <c r="AN204" s="20" t="n"/>
      <c r="AO204" s="20" t="n"/>
      <c r="AP204" s="20" t="n"/>
      <c r="AR204" s="31">
        <f>IF(IFERROR(TRIM(INDEX($A204:$AB204,MATCH(Lists!$B$5,$A$1:$AB$1,0))&amp;""),"")&lt;&gt;"",IFERROR(TRIM(INDEX($A204:$AB204,MATCH(Lists!$B$5,$A$1:$AB$1,0))&amp;""),""),IFERROR(TRIM(INDEX($A204:$AB204,MATCH(Lists!$B$3,$A$1:$AB$1,0))&amp;""),""))</f>
        <v/>
      </c>
      <c r="AS204" s="31">
        <f>IF(AR204="","",IF(IFERROR(TRIM(INDEX($A204:$AB204,MATCH(Lists!$B$5,$A$1:$AB$1,0))&amp;""),"")&lt;&gt;"","Nominated","Applied"))</f>
        <v/>
      </c>
      <c r="AT204" s="31">
        <f>IF(AR204="","",IF(IFERROR(TRIM(INDEX($A204:$AB204,MATCH(Lists!$B$5,$A$1:$AB$1,0))&amp;""),"")&lt;&gt;"",IFERROR(TRIM(INDEX($A204:$AB204,MATCH(Lists!$B$6,$A$1:$AB$1,0))&amp;""),""),IFERROR(TRIM(INDEX($A204:$AB204,MATCH(Lists!$B$4,$A$1:$AB$1,0))&amp;""),"")))</f>
        <v/>
      </c>
      <c r="AU204" s="31">
        <f>IF(AR204="","",IFERROR(TRIM(INDEX($A204:$AB204,MATCH(Lists!$B$7,$A$1:$AB$1,0))&amp;""),""))</f>
        <v/>
      </c>
      <c r="AV204" s="31">
        <f>IF(AR204="","",IFERROR(TRIM(INDEX($A204:$AB204,MATCH(Lists!$B$9,$A$1:$AB$1,0))&amp;""),""))</f>
        <v/>
      </c>
      <c r="AW204" s="31">
        <f>IF(AR204="","",IFERROR(TRIM(INDEX($A204:$AB204,MATCH(Lists!$B$8,$A$1:$AB$1,0))&amp;""),""))</f>
        <v/>
      </c>
      <c r="AX204" s="23">
        <f>IF(AR204="","",IF(OR(TRIM(AE204&amp;"")&lt;&gt;"",AND(Skills!$B$5&lt;&gt;"",ISNUMBER(SEARCH(Skills!$B$5,AU204)))),1,0))</f>
        <v/>
      </c>
      <c r="AY204" s="23">
        <f>IF(AR204="","",IF(OR(TRIM(AF204&amp;"")&lt;&gt;"",AND(Skills!$B$6&lt;&gt;"",ISNUMBER(SEARCH(Skills!$B$6,AU204)))),1,0))</f>
        <v/>
      </c>
      <c r="AZ204" s="23">
        <f>IF(AR204="","",IF(OR(TRIM(AG204&amp;"")&lt;&gt;"",AND(Skills!$B$7&lt;&gt;"",ISNUMBER(SEARCH(Skills!$B$7,AU204)))),1,0))</f>
        <v/>
      </c>
      <c r="BA204" s="23">
        <f>IF(AR204="","",IF(OR(TRIM(AH204&amp;"")&lt;&gt;"",AND(Skills!$B$8&lt;&gt;"",ISNUMBER(SEARCH(Skills!$B$8,AU204)))),1,0))</f>
        <v/>
      </c>
      <c r="BB204" s="23">
        <f>IF(AR204="","",IF(OR(TRIM(AI204&amp;"")&lt;&gt;"",AND(Skills!$B$9&lt;&gt;"",ISNUMBER(SEARCH(Skills!$B$9,AU204)))),1,0))</f>
        <v/>
      </c>
      <c r="BC204" s="23">
        <f>IF(AR204="","",IF(OR(TRIM(AJ204&amp;"")&lt;&gt;"",AND(Skills!$B$10&lt;&gt;"",ISNUMBER(SEARCH(Skills!$B$10,AU204)))),1,0))</f>
        <v/>
      </c>
      <c r="BD204" s="23">
        <f>IF(AR204="","",IF(OR(TRIM(AK204&amp;"")&lt;&gt;"",AND(Skills!$B$11&lt;&gt;"",ISNUMBER(SEARCH(Skills!$B$11,AU204)))),1,0))</f>
        <v/>
      </c>
      <c r="BE204" s="23">
        <f>IF(AR204="","",IF(OR(TRIM(AL204&amp;"")&lt;&gt;"",AND(Skills!$B$12&lt;&gt;"",ISNUMBER(SEARCH(Skills!$B$12,AU204)))),1,0))</f>
        <v/>
      </c>
      <c r="BF204" s="23">
        <f>IF(AR204="","",IF(OR(TRIM(AM204&amp;"")&lt;&gt;"",AND(Skills!$B$13&lt;&gt;"",ISNUMBER(SEARCH(Skills!$B$13,AU204)))),1,0))</f>
        <v/>
      </c>
      <c r="BG204" s="23">
        <f>IF(AR204="","",IF(OR(TRIM(AN204&amp;"")&lt;&gt;"",AND(Skills!$B$14&lt;&gt;"",ISNUMBER(SEARCH(Skills!$B$14,AU204)))),1,0))</f>
        <v/>
      </c>
      <c r="BH204" s="23">
        <f>IF(AR204="","",IF(OR(TRIM(AO204&amp;"")&lt;&gt;"",AND(Skills!$B$15&lt;&gt;"",ISNUMBER(SEARCH(Skills!$B$15,AU204)))),1,0))</f>
        <v/>
      </c>
      <c r="BI204" s="23">
        <f>IF(AR204="","",IF(OR(TRIM(AP204&amp;"")&lt;&gt;"",AND(Skills!$B$16&lt;&gt;"",ISNUMBER(SEARCH(Skills!$B$16,AU204)))),1,0))</f>
        <v/>
      </c>
      <c r="BJ204" s="23">
        <f>IF(AR204="","",SUMPRODUCT($AX204:$BI204,Skills!$B$20:$M$20))</f>
        <v/>
      </c>
      <c r="BK204" s="23">
        <f>IF(AR204="","",BJ204*100000+(100000-ROW()))</f>
        <v/>
      </c>
      <c r="BL204" s="31">
        <f>IF(AR204="","",IF((IF(AND(AX204=1,Skills!$B$20=1),Skills!$B$5&amp;", ","")&amp;IF(AND(AY204=1,Skills!$C$20=1),Skills!$B$6&amp;", ","")&amp;IF(AND(AZ204=1,Skills!$D$20=1),Skills!$B$7&amp;", ","")&amp;IF(AND(BA204=1,Skills!$E$20=1),Skills!$B$8&amp;", ","")&amp;IF(AND(BB204=1,Skills!$F$20=1),Skills!$B$9&amp;", ","")&amp;IF(AND(BC204=1,Skills!$G$20=1),Skills!$B$10&amp;", ","")&amp;IF(AND(BD204=1,Skills!$H$20=1),Skills!$B$11&amp;", ","")&amp;IF(AND(BE204=1,Skills!$I$20=1),Skills!$B$12&amp;", ","")&amp;IF(AND(BF204=1,Skills!$J$20=1),Skills!$B$13&amp;", ","")&amp;IF(AND(BG204=1,Skills!$K$20=1),Skills!$B$14&amp;", ","")&amp;IF(AND(BH204=1,Skills!$L$20=1),Skills!$B$15&amp;", ","")&amp;IF(AND(BI204=1,Skills!$M$20=1),Skills!$B$16&amp;", ",""))="","",LEFT(IF(AND(AX204=1,Skills!$B$20=1),Skills!$B$5&amp;", ","")&amp;IF(AND(AY204=1,Skills!$C$20=1),Skills!$B$6&amp;", ","")&amp;IF(AND(AZ204=1,Skills!$D$20=1),Skills!$B$7&amp;", ","")&amp;IF(AND(BA204=1,Skills!$E$20=1),Skills!$B$8&amp;", ","")&amp;IF(AND(BB204=1,Skills!$F$20=1),Skills!$B$9&amp;", ","")&amp;IF(AND(BC204=1,Skills!$G$20=1),Skills!$B$10&amp;", ","")&amp;IF(AND(BD204=1,Skills!$H$20=1),Skills!$B$11&amp;", ","")&amp;IF(AND(BE204=1,Skills!$I$20=1),Skills!$B$12&amp;", ","")&amp;IF(AND(BF204=1,Skills!$J$20=1),Skills!$B$13&amp;", ","")&amp;IF(AND(BG204=1,Skills!$K$20=1),Skills!$B$14&amp;", ","")&amp;IF(AND(BH204=1,Skills!$L$20=1),Skills!$B$15&amp;", ","")&amp;IF(AND(BI204=1,Skills!$M$20=1),Skills!$B$16&amp;", ",""),LEN(IF(AND(AX204=1,Skills!$B$20=1),Skills!$B$5&amp;", ","")&amp;IF(AND(AY204=1,Skills!$C$20=1),Skills!$B$6&amp;", ","")&amp;IF(AND(AZ204=1,Skills!$D$20=1),Skills!$B$7&amp;", ","")&amp;IF(AND(BA204=1,Skills!$E$20=1),Skills!$B$8&amp;", ","")&amp;IF(AND(BB204=1,Skills!$F$20=1),Skills!$B$9&amp;", ","")&amp;IF(AND(BC204=1,Skills!$G$20=1),Skills!$B$10&amp;", ","")&amp;IF(AND(BD204=1,Skills!$H$20=1),Skills!$B$11&amp;", ","")&amp;IF(AND(BE204=1,Skills!$I$20=1),Skills!$B$12&amp;", ","")&amp;IF(AND(BF204=1,Skills!$J$20=1),Skills!$B$13&amp;", ","")&amp;IF(AND(BG204=1,Skills!$K$20=1),Skills!$B$14&amp;", ","")&amp;IF(AND(BH204=1,Skills!$L$20=1),Skills!$B$15&amp;", ","")&amp;IF(AND(BI204=1,Skills!$M$20=1),Skills!$B$16&amp;", ",""))-2)))</f>
        <v/>
      </c>
    </row>
    <row r="205">
      <c r="AD205" s="20" t="n"/>
      <c r="AE205" s="20" t="n"/>
      <c r="AF205" s="20" t="n"/>
      <c r="AG205" s="20" t="n"/>
      <c r="AH205" s="20" t="n"/>
      <c r="AI205" s="20" t="n"/>
      <c r="AJ205" s="20" t="n"/>
      <c r="AK205" s="20" t="n"/>
      <c r="AL205" s="20" t="n"/>
      <c r="AM205" s="20" t="n"/>
      <c r="AN205" s="20" t="n"/>
      <c r="AO205" s="20" t="n"/>
      <c r="AP205" s="20" t="n"/>
      <c r="AR205" s="31">
        <f>IF(IFERROR(TRIM(INDEX($A205:$AB205,MATCH(Lists!$B$5,$A$1:$AB$1,0))&amp;""),"")&lt;&gt;"",IFERROR(TRIM(INDEX($A205:$AB205,MATCH(Lists!$B$5,$A$1:$AB$1,0))&amp;""),""),IFERROR(TRIM(INDEX($A205:$AB205,MATCH(Lists!$B$3,$A$1:$AB$1,0))&amp;""),""))</f>
        <v/>
      </c>
      <c r="AS205" s="31">
        <f>IF(AR205="","",IF(IFERROR(TRIM(INDEX($A205:$AB205,MATCH(Lists!$B$5,$A$1:$AB$1,0))&amp;""),"")&lt;&gt;"","Nominated","Applied"))</f>
        <v/>
      </c>
      <c r="AT205" s="31">
        <f>IF(AR205="","",IF(IFERROR(TRIM(INDEX($A205:$AB205,MATCH(Lists!$B$5,$A$1:$AB$1,0))&amp;""),"")&lt;&gt;"",IFERROR(TRIM(INDEX($A205:$AB205,MATCH(Lists!$B$6,$A$1:$AB$1,0))&amp;""),""),IFERROR(TRIM(INDEX($A205:$AB205,MATCH(Lists!$B$4,$A$1:$AB$1,0))&amp;""),"")))</f>
        <v/>
      </c>
      <c r="AU205" s="31">
        <f>IF(AR205="","",IFERROR(TRIM(INDEX($A205:$AB205,MATCH(Lists!$B$7,$A$1:$AB$1,0))&amp;""),""))</f>
        <v/>
      </c>
      <c r="AV205" s="31">
        <f>IF(AR205="","",IFERROR(TRIM(INDEX($A205:$AB205,MATCH(Lists!$B$9,$A$1:$AB$1,0))&amp;""),""))</f>
        <v/>
      </c>
      <c r="AW205" s="31">
        <f>IF(AR205="","",IFERROR(TRIM(INDEX($A205:$AB205,MATCH(Lists!$B$8,$A$1:$AB$1,0))&amp;""),""))</f>
        <v/>
      </c>
      <c r="AX205" s="23">
        <f>IF(AR205="","",IF(OR(TRIM(AE205&amp;"")&lt;&gt;"",AND(Skills!$B$5&lt;&gt;"",ISNUMBER(SEARCH(Skills!$B$5,AU205)))),1,0))</f>
        <v/>
      </c>
      <c r="AY205" s="23">
        <f>IF(AR205="","",IF(OR(TRIM(AF205&amp;"")&lt;&gt;"",AND(Skills!$B$6&lt;&gt;"",ISNUMBER(SEARCH(Skills!$B$6,AU205)))),1,0))</f>
        <v/>
      </c>
      <c r="AZ205" s="23">
        <f>IF(AR205="","",IF(OR(TRIM(AG205&amp;"")&lt;&gt;"",AND(Skills!$B$7&lt;&gt;"",ISNUMBER(SEARCH(Skills!$B$7,AU205)))),1,0))</f>
        <v/>
      </c>
      <c r="BA205" s="23">
        <f>IF(AR205="","",IF(OR(TRIM(AH205&amp;"")&lt;&gt;"",AND(Skills!$B$8&lt;&gt;"",ISNUMBER(SEARCH(Skills!$B$8,AU205)))),1,0))</f>
        <v/>
      </c>
      <c r="BB205" s="23">
        <f>IF(AR205="","",IF(OR(TRIM(AI205&amp;"")&lt;&gt;"",AND(Skills!$B$9&lt;&gt;"",ISNUMBER(SEARCH(Skills!$B$9,AU205)))),1,0))</f>
        <v/>
      </c>
      <c r="BC205" s="23">
        <f>IF(AR205="","",IF(OR(TRIM(AJ205&amp;"")&lt;&gt;"",AND(Skills!$B$10&lt;&gt;"",ISNUMBER(SEARCH(Skills!$B$10,AU205)))),1,0))</f>
        <v/>
      </c>
      <c r="BD205" s="23">
        <f>IF(AR205="","",IF(OR(TRIM(AK205&amp;"")&lt;&gt;"",AND(Skills!$B$11&lt;&gt;"",ISNUMBER(SEARCH(Skills!$B$11,AU205)))),1,0))</f>
        <v/>
      </c>
      <c r="BE205" s="23">
        <f>IF(AR205="","",IF(OR(TRIM(AL205&amp;"")&lt;&gt;"",AND(Skills!$B$12&lt;&gt;"",ISNUMBER(SEARCH(Skills!$B$12,AU205)))),1,0))</f>
        <v/>
      </c>
      <c r="BF205" s="23">
        <f>IF(AR205="","",IF(OR(TRIM(AM205&amp;"")&lt;&gt;"",AND(Skills!$B$13&lt;&gt;"",ISNUMBER(SEARCH(Skills!$B$13,AU205)))),1,0))</f>
        <v/>
      </c>
      <c r="BG205" s="23">
        <f>IF(AR205="","",IF(OR(TRIM(AN205&amp;"")&lt;&gt;"",AND(Skills!$B$14&lt;&gt;"",ISNUMBER(SEARCH(Skills!$B$14,AU205)))),1,0))</f>
        <v/>
      </c>
      <c r="BH205" s="23">
        <f>IF(AR205="","",IF(OR(TRIM(AO205&amp;"")&lt;&gt;"",AND(Skills!$B$15&lt;&gt;"",ISNUMBER(SEARCH(Skills!$B$15,AU205)))),1,0))</f>
        <v/>
      </c>
      <c r="BI205" s="23">
        <f>IF(AR205="","",IF(OR(TRIM(AP205&amp;"")&lt;&gt;"",AND(Skills!$B$16&lt;&gt;"",ISNUMBER(SEARCH(Skills!$B$16,AU205)))),1,0))</f>
        <v/>
      </c>
      <c r="BJ205" s="23">
        <f>IF(AR205="","",SUMPRODUCT($AX205:$BI205,Skills!$B$20:$M$20))</f>
        <v/>
      </c>
      <c r="BK205" s="23">
        <f>IF(AR205="","",BJ205*100000+(100000-ROW()))</f>
        <v/>
      </c>
      <c r="BL205" s="31">
        <f>IF(AR205="","",IF((IF(AND(AX205=1,Skills!$B$20=1),Skills!$B$5&amp;", ","")&amp;IF(AND(AY205=1,Skills!$C$20=1),Skills!$B$6&amp;", ","")&amp;IF(AND(AZ205=1,Skills!$D$20=1),Skills!$B$7&amp;", ","")&amp;IF(AND(BA205=1,Skills!$E$20=1),Skills!$B$8&amp;", ","")&amp;IF(AND(BB205=1,Skills!$F$20=1),Skills!$B$9&amp;", ","")&amp;IF(AND(BC205=1,Skills!$G$20=1),Skills!$B$10&amp;", ","")&amp;IF(AND(BD205=1,Skills!$H$20=1),Skills!$B$11&amp;", ","")&amp;IF(AND(BE205=1,Skills!$I$20=1),Skills!$B$12&amp;", ","")&amp;IF(AND(BF205=1,Skills!$J$20=1),Skills!$B$13&amp;", ","")&amp;IF(AND(BG205=1,Skills!$K$20=1),Skills!$B$14&amp;", ","")&amp;IF(AND(BH205=1,Skills!$L$20=1),Skills!$B$15&amp;", ","")&amp;IF(AND(BI205=1,Skills!$M$20=1),Skills!$B$16&amp;", ",""))="","",LEFT(IF(AND(AX205=1,Skills!$B$20=1),Skills!$B$5&amp;", ","")&amp;IF(AND(AY205=1,Skills!$C$20=1),Skills!$B$6&amp;", ","")&amp;IF(AND(AZ205=1,Skills!$D$20=1),Skills!$B$7&amp;", ","")&amp;IF(AND(BA205=1,Skills!$E$20=1),Skills!$B$8&amp;", ","")&amp;IF(AND(BB205=1,Skills!$F$20=1),Skills!$B$9&amp;", ","")&amp;IF(AND(BC205=1,Skills!$G$20=1),Skills!$B$10&amp;", ","")&amp;IF(AND(BD205=1,Skills!$H$20=1),Skills!$B$11&amp;", ","")&amp;IF(AND(BE205=1,Skills!$I$20=1),Skills!$B$12&amp;", ","")&amp;IF(AND(BF205=1,Skills!$J$20=1),Skills!$B$13&amp;", ","")&amp;IF(AND(BG205=1,Skills!$K$20=1),Skills!$B$14&amp;", ","")&amp;IF(AND(BH205=1,Skills!$L$20=1),Skills!$B$15&amp;", ","")&amp;IF(AND(BI205=1,Skills!$M$20=1),Skills!$B$16&amp;", ",""),LEN(IF(AND(AX205=1,Skills!$B$20=1),Skills!$B$5&amp;", ","")&amp;IF(AND(AY205=1,Skills!$C$20=1),Skills!$B$6&amp;", ","")&amp;IF(AND(AZ205=1,Skills!$D$20=1),Skills!$B$7&amp;", ","")&amp;IF(AND(BA205=1,Skills!$E$20=1),Skills!$B$8&amp;", ","")&amp;IF(AND(BB205=1,Skills!$F$20=1),Skills!$B$9&amp;", ","")&amp;IF(AND(BC205=1,Skills!$G$20=1),Skills!$B$10&amp;", ","")&amp;IF(AND(BD205=1,Skills!$H$20=1),Skills!$B$11&amp;", ","")&amp;IF(AND(BE205=1,Skills!$I$20=1),Skills!$B$12&amp;", ","")&amp;IF(AND(BF205=1,Skills!$J$20=1),Skills!$B$13&amp;", ","")&amp;IF(AND(BG205=1,Skills!$K$20=1),Skills!$B$14&amp;", ","")&amp;IF(AND(BH205=1,Skills!$L$20=1),Skills!$B$15&amp;", ","")&amp;IF(AND(BI205=1,Skills!$M$20=1),Skills!$B$16&amp;", ",""))-2)))</f>
        <v/>
      </c>
    </row>
    <row r="206">
      <c r="AD206" s="20" t="n"/>
      <c r="AE206" s="20" t="n"/>
      <c r="AF206" s="20" t="n"/>
      <c r="AG206" s="20" t="n"/>
      <c r="AH206" s="20" t="n"/>
      <c r="AI206" s="20" t="n"/>
      <c r="AJ206" s="20" t="n"/>
      <c r="AK206" s="20" t="n"/>
      <c r="AL206" s="20" t="n"/>
      <c r="AM206" s="20" t="n"/>
      <c r="AN206" s="20" t="n"/>
      <c r="AO206" s="20" t="n"/>
      <c r="AP206" s="20" t="n"/>
      <c r="AR206" s="31">
        <f>IF(IFERROR(TRIM(INDEX($A206:$AB206,MATCH(Lists!$B$5,$A$1:$AB$1,0))&amp;""),"")&lt;&gt;"",IFERROR(TRIM(INDEX($A206:$AB206,MATCH(Lists!$B$5,$A$1:$AB$1,0))&amp;""),""),IFERROR(TRIM(INDEX($A206:$AB206,MATCH(Lists!$B$3,$A$1:$AB$1,0))&amp;""),""))</f>
        <v/>
      </c>
      <c r="AS206" s="31">
        <f>IF(AR206="","",IF(IFERROR(TRIM(INDEX($A206:$AB206,MATCH(Lists!$B$5,$A$1:$AB$1,0))&amp;""),"")&lt;&gt;"","Nominated","Applied"))</f>
        <v/>
      </c>
      <c r="AT206" s="31">
        <f>IF(AR206="","",IF(IFERROR(TRIM(INDEX($A206:$AB206,MATCH(Lists!$B$5,$A$1:$AB$1,0))&amp;""),"")&lt;&gt;"",IFERROR(TRIM(INDEX($A206:$AB206,MATCH(Lists!$B$6,$A$1:$AB$1,0))&amp;""),""),IFERROR(TRIM(INDEX($A206:$AB206,MATCH(Lists!$B$4,$A$1:$AB$1,0))&amp;""),"")))</f>
        <v/>
      </c>
      <c r="AU206" s="31">
        <f>IF(AR206="","",IFERROR(TRIM(INDEX($A206:$AB206,MATCH(Lists!$B$7,$A$1:$AB$1,0))&amp;""),""))</f>
        <v/>
      </c>
      <c r="AV206" s="31">
        <f>IF(AR206="","",IFERROR(TRIM(INDEX($A206:$AB206,MATCH(Lists!$B$9,$A$1:$AB$1,0))&amp;""),""))</f>
        <v/>
      </c>
      <c r="AW206" s="31">
        <f>IF(AR206="","",IFERROR(TRIM(INDEX($A206:$AB206,MATCH(Lists!$B$8,$A$1:$AB$1,0))&amp;""),""))</f>
        <v/>
      </c>
      <c r="AX206" s="23">
        <f>IF(AR206="","",IF(OR(TRIM(AE206&amp;"")&lt;&gt;"",AND(Skills!$B$5&lt;&gt;"",ISNUMBER(SEARCH(Skills!$B$5,AU206)))),1,0))</f>
        <v/>
      </c>
      <c r="AY206" s="23">
        <f>IF(AR206="","",IF(OR(TRIM(AF206&amp;"")&lt;&gt;"",AND(Skills!$B$6&lt;&gt;"",ISNUMBER(SEARCH(Skills!$B$6,AU206)))),1,0))</f>
        <v/>
      </c>
      <c r="AZ206" s="23">
        <f>IF(AR206="","",IF(OR(TRIM(AG206&amp;"")&lt;&gt;"",AND(Skills!$B$7&lt;&gt;"",ISNUMBER(SEARCH(Skills!$B$7,AU206)))),1,0))</f>
        <v/>
      </c>
      <c r="BA206" s="23">
        <f>IF(AR206="","",IF(OR(TRIM(AH206&amp;"")&lt;&gt;"",AND(Skills!$B$8&lt;&gt;"",ISNUMBER(SEARCH(Skills!$B$8,AU206)))),1,0))</f>
        <v/>
      </c>
      <c r="BB206" s="23">
        <f>IF(AR206="","",IF(OR(TRIM(AI206&amp;"")&lt;&gt;"",AND(Skills!$B$9&lt;&gt;"",ISNUMBER(SEARCH(Skills!$B$9,AU206)))),1,0))</f>
        <v/>
      </c>
      <c r="BC206" s="23">
        <f>IF(AR206="","",IF(OR(TRIM(AJ206&amp;"")&lt;&gt;"",AND(Skills!$B$10&lt;&gt;"",ISNUMBER(SEARCH(Skills!$B$10,AU206)))),1,0))</f>
        <v/>
      </c>
      <c r="BD206" s="23">
        <f>IF(AR206="","",IF(OR(TRIM(AK206&amp;"")&lt;&gt;"",AND(Skills!$B$11&lt;&gt;"",ISNUMBER(SEARCH(Skills!$B$11,AU206)))),1,0))</f>
        <v/>
      </c>
      <c r="BE206" s="23">
        <f>IF(AR206="","",IF(OR(TRIM(AL206&amp;"")&lt;&gt;"",AND(Skills!$B$12&lt;&gt;"",ISNUMBER(SEARCH(Skills!$B$12,AU206)))),1,0))</f>
        <v/>
      </c>
      <c r="BF206" s="23">
        <f>IF(AR206="","",IF(OR(TRIM(AM206&amp;"")&lt;&gt;"",AND(Skills!$B$13&lt;&gt;"",ISNUMBER(SEARCH(Skills!$B$13,AU206)))),1,0))</f>
        <v/>
      </c>
      <c r="BG206" s="23">
        <f>IF(AR206="","",IF(OR(TRIM(AN206&amp;"")&lt;&gt;"",AND(Skills!$B$14&lt;&gt;"",ISNUMBER(SEARCH(Skills!$B$14,AU206)))),1,0))</f>
        <v/>
      </c>
      <c r="BH206" s="23">
        <f>IF(AR206="","",IF(OR(TRIM(AO206&amp;"")&lt;&gt;"",AND(Skills!$B$15&lt;&gt;"",ISNUMBER(SEARCH(Skills!$B$15,AU206)))),1,0))</f>
        <v/>
      </c>
      <c r="BI206" s="23">
        <f>IF(AR206="","",IF(OR(TRIM(AP206&amp;"")&lt;&gt;"",AND(Skills!$B$16&lt;&gt;"",ISNUMBER(SEARCH(Skills!$B$16,AU206)))),1,0))</f>
        <v/>
      </c>
      <c r="BJ206" s="23">
        <f>IF(AR206="","",SUMPRODUCT($AX206:$BI206,Skills!$B$20:$M$20))</f>
        <v/>
      </c>
      <c r="BK206" s="23">
        <f>IF(AR206="","",BJ206*100000+(100000-ROW()))</f>
        <v/>
      </c>
      <c r="BL206" s="31">
        <f>IF(AR206="","",IF((IF(AND(AX206=1,Skills!$B$20=1),Skills!$B$5&amp;", ","")&amp;IF(AND(AY206=1,Skills!$C$20=1),Skills!$B$6&amp;", ","")&amp;IF(AND(AZ206=1,Skills!$D$20=1),Skills!$B$7&amp;", ","")&amp;IF(AND(BA206=1,Skills!$E$20=1),Skills!$B$8&amp;", ","")&amp;IF(AND(BB206=1,Skills!$F$20=1),Skills!$B$9&amp;", ","")&amp;IF(AND(BC206=1,Skills!$G$20=1),Skills!$B$10&amp;", ","")&amp;IF(AND(BD206=1,Skills!$H$20=1),Skills!$B$11&amp;", ","")&amp;IF(AND(BE206=1,Skills!$I$20=1),Skills!$B$12&amp;", ","")&amp;IF(AND(BF206=1,Skills!$J$20=1),Skills!$B$13&amp;", ","")&amp;IF(AND(BG206=1,Skills!$K$20=1),Skills!$B$14&amp;", ","")&amp;IF(AND(BH206=1,Skills!$L$20=1),Skills!$B$15&amp;", ","")&amp;IF(AND(BI206=1,Skills!$M$20=1),Skills!$B$16&amp;", ",""))="","",LEFT(IF(AND(AX206=1,Skills!$B$20=1),Skills!$B$5&amp;", ","")&amp;IF(AND(AY206=1,Skills!$C$20=1),Skills!$B$6&amp;", ","")&amp;IF(AND(AZ206=1,Skills!$D$20=1),Skills!$B$7&amp;", ","")&amp;IF(AND(BA206=1,Skills!$E$20=1),Skills!$B$8&amp;", ","")&amp;IF(AND(BB206=1,Skills!$F$20=1),Skills!$B$9&amp;", ","")&amp;IF(AND(BC206=1,Skills!$G$20=1),Skills!$B$10&amp;", ","")&amp;IF(AND(BD206=1,Skills!$H$20=1),Skills!$B$11&amp;", ","")&amp;IF(AND(BE206=1,Skills!$I$20=1),Skills!$B$12&amp;", ","")&amp;IF(AND(BF206=1,Skills!$J$20=1),Skills!$B$13&amp;", ","")&amp;IF(AND(BG206=1,Skills!$K$20=1),Skills!$B$14&amp;", ","")&amp;IF(AND(BH206=1,Skills!$L$20=1),Skills!$B$15&amp;", ","")&amp;IF(AND(BI206=1,Skills!$M$20=1),Skills!$B$16&amp;", ",""),LEN(IF(AND(AX206=1,Skills!$B$20=1),Skills!$B$5&amp;", ","")&amp;IF(AND(AY206=1,Skills!$C$20=1),Skills!$B$6&amp;", ","")&amp;IF(AND(AZ206=1,Skills!$D$20=1),Skills!$B$7&amp;", ","")&amp;IF(AND(BA206=1,Skills!$E$20=1),Skills!$B$8&amp;", ","")&amp;IF(AND(BB206=1,Skills!$F$20=1),Skills!$B$9&amp;", ","")&amp;IF(AND(BC206=1,Skills!$G$20=1),Skills!$B$10&amp;", ","")&amp;IF(AND(BD206=1,Skills!$H$20=1),Skills!$B$11&amp;", ","")&amp;IF(AND(BE206=1,Skills!$I$20=1),Skills!$B$12&amp;", ","")&amp;IF(AND(BF206=1,Skills!$J$20=1),Skills!$B$13&amp;", ","")&amp;IF(AND(BG206=1,Skills!$K$20=1),Skills!$B$14&amp;", ","")&amp;IF(AND(BH206=1,Skills!$L$20=1),Skills!$B$15&amp;", ","")&amp;IF(AND(BI206=1,Skills!$M$20=1),Skills!$B$16&amp;", ",""))-2)))</f>
        <v/>
      </c>
    </row>
    <row r="207">
      <c r="AD207" s="20" t="n"/>
      <c r="AE207" s="20" t="n"/>
      <c r="AF207" s="20" t="n"/>
      <c r="AG207" s="20" t="n"/>
      <c r="AH207" s="20" t="n"/>
      <c r="AI207" s="20" t="n"/>
      <c r="AJ207" s="20" t="n"/>
      <c r="AK207" s="20" t="n"/>
      <c r="AL207" s="20" t="n"/>
      <c r="AM207" s="20" t="n"/>
      <c r="AN207" s="20" t="n"/>
      <c r="AO207" s="20" t="n"/>
      <c r="AP207" s="20" t="n"/>
      <c r="AR207" s="31">
        <f>IF(IFERROR(TRIM(INDEX($A207:$AB207,MATCH(Lists!$B$5,$A$1:$AB$1,0))&amp;""),"")&lt;&gt;"",IFERROR(TRIM(INDEX($A207:$AB207,MATCH(Lists!$B$5,$A$1:$AB$1,0))&amp;""),""),IFERROR(TRIM(INDEX($A207:$AB207,MATCH(Lists!$B$3,$A$1:$AB$1,0))&amp;""),""))</f>
        <v/>
      </c>
      <c r="AS207" s="31">
        <f>IF(AR207="","",IF(IFERROR(TRIM(INDEX($A207:$AB207,MATCH(Lists!$B$5,$A$1:$AB$1,0))&amp;""),"")&lt;&gt;"","Nominated","Applied"))</f>
        <v/>
      </c>
      <c r="AT207" s="31">
        <f>IF(AR207="","",IF(IFERROR(TRIM(INDEX($A207:$AB207,MATCH(Lists!$B$5,$A$1:$AB$1,0))&amp;""),"")&lt;&gt;"",IFERROR(TRIM(INDEX($A207:$AB207,MATCH(Lists!$B$6,$A$1:$AB$1,0))&amp;""),""),IFERROR(TRIM(INDEX($A207:$AB207,MATCH(Lists!$B$4,$A$1:$AB$1,0))&amp;""),"")))</f>
        <v/>
      </c>
      <c r="AU207" s="31">
        <f>IF(AR207="","",IFERROR(TRIM(INDEX($A207:$AB207,MATCH(Lists!$B$7,$A$1:$AB$1,0))&amp;""),""))</f>
        <v/>
      </c>
      <c r="AV207" s="31">
        <f>IF(AR207="","",IFERROR(TRIM(INDEX($A207:$AB207,MATCH(Lists!$B$9,$A$1:$AB$1,0))&amp;""),""))</f>
        <v/>
      </c>
      <c r="AW207" s="31">
        <f>IF(AR207="","",IFERROR(TRIM(INDEX($A207:$AB207,MATCH(Lists!$B$8,$A$1:$AB$1,0))&amp;""),""))</f>
        <v/>
      </c>
      <c r="AX207" s="23">
        <f>IF(AR207="","",IF(OR(TRIM(AE207&amp;"")&lt;&gt;"",AND(Skills!$B$5&lt;&gt;"",ISNUMBER(SEARCH(Skills!$B$5,AU207)))),1,0))</f>
        <v/>
      </c>
      <c r="AY207" s="23">
        <f>IF(AR207="","",IF(OR(TRIM(AF207&amp;"")&lt;&gt;"",AND(Skills!$B$6&lt;&gt;"",ISNUMBER(SEARCH(Skills!$B$6,AU207)))),1,0))</f>
        <v/>
      </c>
      <c r="AZ207" s="23">
        <f>IF(AR207="","",IF(OR(TRIM(AG207&amp;"")&lt;&gt;"",AND(Skills!$B$7&lt;&gt;"",ISNUMBER(SEARCH(Skills!$B$7,AU207)))),1,0))</f>
        <v/>
      </c>
      <c r="BA207" s="23">
        <f>IF(AR207="","",IF(OR(TRIM(AH207&amp;"")&lt;&gt;"",AND(Skills!$B$8&lt;&gt;"",ISNUMBER(SEARCH(Skills!$B$8,AU207)))),1,0))</f>
        <v/>
      </c>
      <c r="BB207" s="23">
        <f>IF(AR207="","",IF(OR(TRIM(AI207&amp;"")&lt;&gt;"",AND(Skills!$B$9&lt;&gt;"",ISNUMBER(SEARCH(Skills!$B$9,AU207)))),1,0))</f>
        <v/>
      </c>
      <c r="BC207" s="23">
        <f>IF(AR207="","",IF(OR(TRIM(AJ207&amp;"")&lt;&gt;"",AND(Skills!$B$10&lt;&gt;"",ISNUMBER(SEARCH(Skills!$B$10,AU207)))),1,0))</f>
        <v/>
      </c>
      <c r="BD207" s="23">
        <f>IF(AR207="","",IF(OR(TRIM(AK207&amp;"")&lt;&gt;"",AND(Skills!$B$11&lt;&gt;"",ISNUMBER(SEARCH(Skills!$B$11,AU207)))),1,0))</f>
        <v/>
      </c>
      <c r="BE207" s="23">
        <f>IF(AR207="","",IF(OR(TRIM(AL207&amp;"")&lt;&gt;"",AND(Skills!$B$12&lt;&gt;"",ISNUMBER(SEARCH(Skills!$B$12,AU207)))),1,0))</f>
        <v/>
      </c>
      <c r="BF207" s="23">
        <f>IF(AR207="","",IF(OR(TRIM(AM207&amp;"")&lt;&gt;"",AND(Skills!$B$13&lt;&gt;"",ISNUMBER(SEARCH(Skills!$B$13,AU207)))),1,0))</f>
        <v/>
      </c>
      <c r="BG207" s="23">
        <f>IF(AR207="","",IF(OR(TRIM(AN207&amp;"")&lt;&gt;"",AND(Skills!$B$14&lt;&gt;"",ISNUMBER(SEARCH(Skills!$B$14,AU207)))),1,0))</f>
        <v/>
      </c>
      <c r="BH207" s="23">
        <f>IF(AR207="","",IF(OR(TRIM(AO207&amp;"")&lt;&gt;"",AND(Skills!$B$15&lt;&gt;"",ISNUMBER(SEARCH(Skills!$B$15,AU207)))),1,0))</f>
        <v/>
      </c>
      <c r="BI207" s="23">
        <f>IF(AR207="","",IF(OR(TRIM(AP207&amp;"")&lt;&gt;"",AND(Skills!$B$16&lt;&gt;"",ISNUMBER(SEARCH(Skills!$B$16,AU207)))),1,0))</f>
        <v/>
      </c>
      <c r="BJ207" s="23">
        <f>IF(AR207="","",SUMPRODUCT($AX207:$BI207,Skills!$B$20:$M$20))</f>
        <v/>
      </c>
      <c r="BK207" s="23">
        <f>IF(AR207="","",BJ207*100000+(100000-ROW()))</f>
        <v/>
      </c>
      <c r="BL207" s="31">
        <f>IF(AR207="","",IF((IF(AND(AX207=1,Skills!$B$20=1),Skills!$B$5&amp;", ","")&amp;IF(AND(AY207=1,Skills!$C$20=1),Skills!$B$6&amp;", ","")&amp;IF(AND(AZ207=1,Skills!$D$20=1),Skills!$B$7&amp;", ","")&amp;IF(AND(BA207=1,Skills!$E$20=1),Skills!$B$8&amp;", ","")&amp;IF(AND(BB207=1,Skills!$F$20=1),Skills!$B$9&amp;", ","")&amp;IF(AND(BC207=1,Skills!$G$20=1),Skills!$B$10&amp;", ","")&amp;IF(AND(BD207=1,Skills!$H$20=1),Skills!$B$11&amp;", ","")&amp;IF(AND(BE207=1,Skills!$I$20=1),Skills!$B$12&amp;", ","")&amp;IF(AND(BF207=1,Skills!$J$20=1),Skills!$B$13&amp;", ","")&amp;IF(AND(BG207=1,Skills!$K$20=1),Skills!$B$14&amp;", ","")&amp;IF(AND(BH207=1,Skills!$L$20=1),Skills!$B$15&amp;", ","")&amp;IF(AND(BI207=1,Skills!$M$20=1),Skills!$B$16&amp;", ",""))="","",LEFT(IF(AND(AX207=1,Skills!$B$20=1),Skills!$B$5&amp;", ","")&amp;IF(AND(AY207=1,Skills!$C$20=1),Skills!$B$6&amp;", ","")&amp;IF(AND(AZ207=1,Skills!$D$20=1),Skills!$B$7&amp;", ","")&amp;IF(AND(BA207=1,Skills!$E$20=1),Skills!$B$8&amp;", ","")&amp;IF(AND(BB207=1,Skills!$F$20=1),Skills!$B$9&amp;", ","")&amp;IF(AND(BC207=1,Skills!$G$20=1),Skills!$B$10&amp;", ","")&amp;IF(AND(BD207=1,Skills!$H$20=1),Skills!$B$11&amp;", ","")&amp;IF(AND(BE207=1,Skills!$I$20=1),Skills!$B$12&amp;", ","")&amp;IF(AND(BF207=1,Skills!$J$20=1),Skills!$B$13&amp;", ","")&amp;IF(AND(BG207=1,Skills!$K$20=1),Skills!$B$14&amp;", ","")&amp;IF(AND(BH207=1,Skills!$L$20=1),Skills!$B$15&amp;", ","")&amp;IF(AND(BI207=1,Skills!$M$20=1),Skills!$B$16&amp;", ",""),LEN(IF(AND(AX207=1,Skills!$B$20=1),Skills!$B$5&amp;", ","")&amp;IF(AND(AY207=1,Skills!$C$20=1),Skills!$B$6&amp;", ","")&amp;IF(AND(AZ207=1,Skills!$D$20=1),Skills!$B$7&amp;", ","")&amp;IF(AND(BA207=1,Skills!$E$20=1),Skills!$B$8&amp;", ","")&amp;IF(AND(BB207=1,Skills!$F$20=1),Skills!$B$9&amp;", ","")&amp;IF(AND(BC207=1,Skills!$G$20=1),Skills!$B$10&amp;", ","")&amp;IF(AND(BD207=1,Skills!$H$20=1),Skills!$B$11&amp;", ","")&amp;IF(AND(BE207=1,Skills!$I$20=1),Skills!$B$12&amp;", ","")&amp;IF(AND(BF207=1,Skills!$J$20=1),Skills!$B$13&amp;", ","")&amp;IF(AND(BG207=1,Skills!$K$20=1),Skills!$B$14&amp;", ","")&amp;IF(AND(BH207=1,Skills!$L$20=1),Skills!$B$15&amp;", ","")&amp;IF(AND(BI207=1,Skills!$M$20=1),Skills!$B$16&amp;", ",""))-2)))</f>
        <v/>
      </c>
    </row>
    <row r="208">
      <c r="AD208" s="20" t="n"/>
      <c r="AE208" s="20" t="n"/>
      <c r="AF208" s="20" t="n"/>
      <c r="AG208" s="20" t="n"/>
      <c r="AH208" s="20" t="n"/>
      <c r="AI208" s="20" t="n"/>
      <c r="AJ208" s="20" t="n"/>
      <c r="AK208" s="20" t="n"/>
      <c r="AL208" s="20" t="n"/>
      <c r="AM208" s="20" t="n"/>
      <c r="AN208" s="20" t="n"/>
      <c r="AO208" s="20" t="n"/>
      <c r="AP208" s="20" t="n"/>
      <c r="AR208" s="31">
        <f>IF(IFERROR(TRIM(INDEX($A208:$AB208,MATCH(Lists!$B$5,$A$1:$AB$1,0))&amp;""),"")&lt;&gt;"",IFERROR(TRIM(INDEX($A208:$AB208,MATCH(Lists!$B$5,$A$1:$AB$1,0))&amp;""),""),IFERROR(TRIM(INDEX($A208:$AB208,MATCH(Lists!$B$3,$A$1:$AB$1,0))&amp;""),""))</f>
        <v/>
      </c>
      <c r="AS208" s="31">
        <f>IF(AR208="","",IF(IFERROR(TRIM(INDEX($A208:$AB208,MATCH(Lists!$B$5,$A$1:$AB$1,0))&amp;""),"")&lt;&gt;"","Nominated","Applied"))</f>
        <v/>
      </c>
      <c r="AT208" s="31">
        <f>IF(AR208="","",IF(IFERROR(TRIM(INDEX($A208:$AB208,MATCH(Lists!$B$5,$A$1:$AB$1,0))&amp;""),"")&lt;&gt;"",IFERROR(TRIM(INDEX($A208:$AB208,MATCH(Lists!$B$6,$A$1:$AB$1,0))&amp;""),""),IFERROR(TRIM(INDEX($A208:$AB208,MATCH(Lists!$B$4,$A$1:$AB$1,0))&amp;""),"")))</f>
        <v/>
      </c>
      <c r="AU208" s="31">
        <f>IF(AR208="","",IFERROR(TRIM(INDEX($A208:$AB208,MATCH(Lists!$B$7,$A$1:$AB$1,0))&amp;""),""))</f>
        <v/>
      </c>
      <c r="AV208" s="31">
        <f>IF(AR208="","",IFERROR(TRIM(INDEX($A208:$AB208,MATCH(Lists!$B$9,$A$1:$AB$1,0))&amp;""),""))</f>
        <v/>
      </c>
      <c r="AW208" s="31">
        <f>IF(AR208="","",IFERROR(TRIM(INDEX($A208:$AB208,MATCH(Lists!$B$8,$A$1:$AB$1,0))&amp;""),""))</f>
        <v/>
      </c>
      <c r="AX208" s="23">
        <f>IF(AR208="","",IF(OR(TRIM(AE208&amp;"")&lt;&gt;"",AND(Skills!$B$5&lt;&gt;"",ISNUMBER(SEARCH(Skills!$B$5,AU208)))),1,0))</f>
        <v/>
      </c>
      <c r="AY208" s="23">
        <f>IF(AR208="","",IF(OR(TRIM(AF208&amp;"")&lt;&gt;"",AND(Skills!$B$6&lt;&gt;"",ISNUMBER(SEARCH(Skills!$B$6,AU208)))),1,0))</f>
        <v/>
      </c>
      <c r="AZ208" s="23">
        <f>IF(AR208="","",IF(OR(TRIM(AG208&amp;"")&lt;&gt;"",AND(Skills!$B$7&lt;&gt;"",ISNUMBER(SEARCH(Skills!$B$7,AU208)))),1,0))</f>
        <v/>
      </c>
      <c r="BA208" s="23">
        <f>IF(AR208="","",IF(OR(TRIM(AH208&amp;"")&lt;&gt;"",AND(Skills!$B$8&lt;&gt;"",ISNUMBER(SEARCH(Skills!$B$8,AU208)))),1,0))</f>
        <v/>
      </c>
      <c r="BB208" s="23">
        <f>IF(AR208="","",IF(OR(TRIM(AI208&amp;"")&lt;&gt;"",AND(Skills!$B$9&lt;&gt;"",ISNUMBER(SEARCH(Skills!$B$9,AU208)))),1,0))</f>
        <v/>
      </c>
      <c r="BC208" s="23">
        <f>IF(AR208="","",IF(OR(TRIM(AJ208&amp;"")&lt;&gt;"",AND(Skills!$B$10&lt;&gt;"",ISNUMBER(SEARCH(Skills!$B$10,AU208)))),1,0))</f>
        <v/>
      </c>
      <c r="BD208" s="23">
        <f>IF(AR208="","",IF(OR(TRIM(AK208&amp;"")&lt;&gt;"",AND(Skills!$B$11&lt;&gt;"",ISNUMBER(SEARCH(Skills!$B$11,AU208)))),1,0))</f>
        <v/>
      </c>
      <c r="BE208" s="23">
        <f>IF(AR208="","",IF(OR(TRIM(AL208&amp;"")&lt;&gt;"",AND(Skills!$B$12&lt;&gt;"",ISNUMBER(SEARCH(Skills!$B$12,AU208)))),1,0))</f>
        <v/>
      </c>
      <c r="BF208" s="23">
        <f>IF(AR208="","",IF(OR(TRIM(AM208&amp;"")&lt;&gt;"",AND(Skills!$B$13&lt;&gt;"",ISNUMBER(SEARCH(Skills!$B$13,AU208)))),1,0))</f>
        <v/>
      </c>
      <c r="BG208" s="23">
        <f>IF(AR208="","",IF(OR(TRIM(AN208&amp;"")&lt;&gt;"",AND(Skills!$B$14&lt;&gt;"",ISNUMBER(SEARCH(Skills!$B$14,AU208)))),1,0))</f>
        <v/>
      </c>
      <c r="BH208" s="23">
        <f>IF(AR208="","",IF(OR(TRIM(AO208&amp;"")&lt;&gt;"",AND(Skills!$B$15&lt;&gt;"",ISNUMBER(SEARCH(Skills!$B$15,AU208)))),1,0))</f>
        <v/>
      </c>
      <c r="BI208" s="23">
        <f>IF(AR208="","",IF(OR(TRIM(AP208&amp;"")&lt;&gt;"",AND(Skills!$B$16&lt;&gt;"",ISNUMBER(SEARCH(Skills!$B$16,AU208)))),1,0))</f>
        <v/>
      </c>
      <c r="BJ208" s="23">
        <f>IF(AR208="","",SUMPRODUCT($AX208:$BI208,Skills!$B$20:$M$20))</f>
        <v/>
      </c>
      <c r="BK208" s="23">
        <f>IF(AR208="","",BJ208*100000+(100000-ROW()))</f>
        <v/>
      </c>
      <c r="BL208" s="31">
        <f>IF(AR208="","",IF((IF(AND(AX208=1,Skills!$B$20=1),Skills!$B$5&amp;", ","")&amp;IF(AND(AY208=1,Skills!$C$20=1),Skills!$B$6&amp;", ","")&amp;IF(AND(AZ208=1,Skills!$D$20=1),Skills!$B$7&amp;", ","")&amp;IF(AND(BA208=1,Skills!$E$20=1),Skills!$B$8&amp;", ","")&amp;IF(AND(BB208=1,Skills!$F$20=1),Skills!$B$9&amp;", ","")&amp;IF(AND(BC208=1,Skills!$G$20=1),Skills!$B$10&amp;", ","")&amp;IF(AND(BD208=1,Skills!$H$20=1),Skills!$B$11&amp;", ","")&amp;IF(AND(BE208=1,Skills!$I$20=1),Skills!$B$12&amp;", ","")&amp;IF(AND(BF208=1,Skills!$J$20=1),Skills!$B$13&amp;", ","")&amp;IF(AND(BG208=1,Skills!$K$20=1),Skills!$B$14&amp;", ","")&amp;IF(AND(BH208=1,Skills!$L$20=1),Skills!$B$15&amp;", ","")&amp;IF(AND(BI208=1,Skills!$M$20=1),Skills!$B$16&amp;", ",""))="","",LEFT(IF(AND(AX208=1,Skills!$B$20=1),Skills!$B$5&amp;", ","")&amp;IF(AND(AY208=1,Skills!$C$20=1),Skills!$B$6&amp;", ","")&amp;IF(AND(AZ208=1,Skills!$D$20=1),Skills!$B$7&amp;", ","")&amp;IF(AND(BA208=1,Skills!$E$20=1),Skills!$B$8&amp;", ","")&amp;IF(AND(BB208=1,Skills!$F$20=1),Skills!$B$9&amp;", ","")&amp;IF(AND(BC208=1,Skills!$G$20=1),Skills!$B$10&amp;", ","")&amp;IF(AND(BD208=1,Skills!$H$20=1),Skills!$B$11&amp;", ","")&amp;IF(AND(BE208=1,Skills!$I$20=1),Skills!$B$12&amp;", ","")&amp;IF(AND(BF208=1,Skills!$J$20=1),Skills!$B$13&amp;", ","")&amp;IF(AND(BG208=1,Skills!$K$20=1),Skills!$B$14&amp;", ","")&amp;IF(AND(BH208=1,Skills!$L$20=1),Skills!$B$15&amp;", ","")&amp;IF(AND(BI208=1,Skills!$M$20=1),Skills!$B$16&amp;", ",""),LEN(IF(AND(AX208=1,Skills!$B$20=1),Skills!$B$5&amp;", ","")&amp;IF(AND(AY208=1,Skills!$C$20=1),Skills!$B$6&amp;", ","")&amp;IF(AND(AZ208=1,Skills!$D$20=1),Skills!$B$7&amp;", ","")&amp;IF(AND(BA208=1,Skills!$E$20=1),Skills!$B$8&amp;", ","")&amp;IF(AND(BB208=1,Skills!$F$20=1),Skills!$B$9&amp;", ","")&amp;IF(AND(BC208=1,Skills!$G$20=1),Skills!$B$10&amp;", ","")&amp;IF(AND(BD208=1,Skills!$H$20=1),Skills!$B$11&amp;", ","")&amp;IF(AND(BE208=1,Skills!$I$20=1),Skills!$B$12&amp;", ","")&amp;IF(AND(BF208=1,Skills!$J$20=1),Skills!$B$13&amp;", ","")&amp;IF(AND(BG208=1,Skills!$K$20=1),Skills!$B$14&amp;", ","")&amp;IF(AND(BH208=1,Skills!$L$20=1),Skills!$B$15&amp;", ","")&amp;IF(AND(BI208=1,Skills!$M$20=1),Skills!$B$16&amp;", ",""))-2)))</f>
        <v/>
      </c>
    </row>
    <row r="209">
      <c r="AD209" s="20" t="n"/>
      <c r="AE209" s="20" t="n"/>
      <c r="AF209" s="20" t="n"/>
      <c r="AG209" s="20" t="n"/>
      <c r="AH209" s="20" t="n"/>
      <c r="AI209" s="20" t="n"/>
      <c r="AJ209" s="20" t="n"/>
      <c r="AK209" s="20" t="n"/>
      <c r="AL209" s="20" t="n"/>
      <c r="AM209" s="20" t="n"/>
      <c r="AN209" s="20" t="n"/>
      <c r="AO209" s="20" t="n"/>
      <c r="AP209" s="20" t="n"/>
      <c r="AR209" s="31">
        <f>IF(IFERROR(TRIM(INDEX($A209:$AB209,MATCH(Lists!$B$5,$A$1:$AB$1,0))&amp;""),"")&lt;&gt;"",IFERROR(TRIM(INDEX($A209:$AB209,MATCH(Lists!$B$5,$A$1:$AB$1,0))&amp;""),""),IFERROR(TRIM(INDEX($A209:$AB209,MATCH(Lists!$B$3,$A$1:$AB$1,0))&amp;""),""))</f>
        <v/>
      </c>
      <c r="AS209" s="31">
        <f>IF(AR209="","",IF(IFERROR(TRIM(INDEX($A209:$AB209,MATCH(Lists!$B$5,$A$1:$AB$1,0))&amp;""),"")&lt;&gt;"","Nominated","Applied"))</f>
        <v/>
      </c>
      <c r="AT209" s="31">
        <f>IF(AR209="","",IF(IFERROR(TRIM(INDEX($A209:$AB209,MATCH(Lists!$B$5,$A$1:$AB$1,0))&amp;""),"")&lt;&gt;"",IFERROR(TRIM(INDEX($A209:$AB209,MATCH(Lists!$B$6,$A$1:$AB$1,0))&amp;""),""),IFERROR(TRIM(INDEX($A209:$AB209,MATCH(Lists!$B$4,$A$1:$AB$1,0))&amp;""),"")))</f>
        <v/>
      </c>
      <c r="AU209" s="31">
        <f>IF(AR209="","",IFERROR(TRIM(INDEX($A209:$AB209,MATCH(Lists!$B$7,$A$1:$AB$1,0))&amp;""),""))</f>
        <v/>
      </c>
      <c r="AV209" s="31">
        <f>IF(AR209="","",IFERROR(TRIM(INDEX($A209:$AB209,MATCH(Lists!$B$9,$A$1:$AB$1,0))&amp;""),""))</f>
        <v/>
      </c>
      <c r="AW209" s="31">
        <f>IF(AR209="","",IFERROR(TRIM(INDEX($A209:$AB209,MATCH(Lists!$B$8,$A$1:$AB$1,0))&amp;""),""))</f>
        <v/>
      </c>
      <c r="AX209" s="23">
        <f>IF(AR209="","",IF(OR(TRIM(AE209&amp;"")&lt;&gt;"",AND(Skills!$B$5&lt;&gt;"",ISNUMBER(SEARCH(Skills!$B$5,AU209)))),1,0))</f>
        <v/>
      </c>
      <c r="AY209" s="23">
        <f>IF(AR209="","",IF(OR(TRIM(AF209&amp;"")&lt;&gt;"",AND(Skills!$B$6&lt;&gt;"",ISNUMBER(SEARCH(Skills!$B$6,AU209)))),1,0))</f>
        <v/>
      </c>
      <c r="AZ209" s="23">
        <f>IF(AR209="","",IF(OR(TRIM(AG209&amp;"")&lt;&gt;"",AND(Skills!$B$7&lt;&gt;"",ISNUMBER(SEARCH(Skills!$B$7,AU209)))),1,0))</f>
        <v/>
      </c>
      <c r="BA209" s="23">
        <f>IF(AR209="","",IF(OR(TRIM(AH209&amp;"")&lt;&gt;"",AND(Skills!$B$8&lt;&gt;"",ISNUMBER(SEARCH(Skills!$B$8,AU209)))),1,0))</f>
        <v/>
      </c>
      <c r="BB209" s="23">
        <f>IF(AR209="","",IF(OR(TRIM(AI209&amp;"")&lt;&gt;"",AND(Skills!$B$9&lt;&gt;"",ISNUMBER(SEARCH(Skills!$B$9,AU209)))),1,0))</f>
        <v/>
      </c>
      <c r="BC209" s="23">
        <f>IF(AR209="","",IF(OR(TRIM(AJ209&amp;"")&lt;&gt;"",AND(Skills!$B$10&lt;&gt;"",ISNUMBER(SEARCH(Skills!$B$10,AU209)))),1,0))</f>
        <v/>
      </c>
      <c r="BD209" s="23">
        <f>IF(AR209="","",IF(OR(TRIM(AK209&amp;"")&lt;&gt;"",AND(Skills!$B$11&lt;&gt;"",ISNUMBER(SEARCH(Skills!$B$11,AU209)))),1,0))</f>
        <v/>
      </c>
      <c r="BE209" s="23">
        <f>IF(AR209="","",IF(OR(TRIM(AL209&amp;"")&lt;&gt;"",AND(Skills!$B$12&lt;&gt;"",ISNUMBER(SEARCH(Skills!$B$12,AU209)))),1,0))</f>
        <v/>
      </c>
      <c r="BF209" s="23">
        <f>IF(AR209="","",IF(OR(TRIM(AM209&amp;"")&lt;&gt;"",AND(Skills!$B$13&lt;&gt;"",ISNUMBER(SEARCH(Skills!$B$13,AU209)))),1,0))</f>
        <v/>
      </c>
      <c r="BG209" s="23">
        <f>IF(AR209="","",IF(OR(TRIM(AN209&amp;"")&lt;&gt;"",AND(Skills!$B$14&lt;&gt;"",ISNUMBER(SEARCH(Skills!$B$14,AU209)))),1,0))</f>
        <v/>
      </c>
      <c r="BH209" s="23">
        <f>IF(AR209="","",IF(OR(TRIM(AO209&amp;"")&lt;&gt;"",AND(Skills!$B$15&lt;&gt;"",ISNUMBER(SEARCH(Skills!$B$15,AU209)))),1,0))</f>
        <v/>
      </c>
      <c r="BI209" s="23">
        <f>IF(AR209="","",IF(OR(TRIM(AP209&amp;"")&lt;&gt;"",AND(Skills!$B$16&lt;&gt;"",ISNUMBER(SEARCH(Skills!$B$16,AU209)))),1,0))</f>
        <v/>
      </c>
      <c r="BJ209" s="23">
        <f>IF(AR209="","",SUMPRODUCT($AX209:$BI209,Skills!$B$20:$M$20))</f>
        <v/>
      </c>
      <c r="BK209" s="23">
        <f>IF(AR209="","",BJ209*100000+(100000-ROW()))</f>
        <v/>
      </c>
      <c r="BL209" s="31">
        <f>IF(AR209="","",IF((IF(AND(AX209=1,Skills!$B$20=1),Skills!$B$5&amp;", ","")&amp;IF(AND(AY209=1,Skills!$C$20=1),Skills!$B$6&amp;", ","")&amp;IF(AND(AZ209=1,Skills!$D$20=1),Skills!$B$7&amp;", ","")&amp;IF(AND(BA209=1,Skills!$E$20=1),Skills!$B$8&amp;", ","")&amp;IF(AND(BB209=1,Skills!$F$20=1),Skills!$B$9&amp;", ","")&amp;IF(AND(BC209=1,Skills!$G$20=1),Skills!$B$10&amp;", ","")&amp;IF(AND(BD209=1,Skills!$H$20=1),Skills!$B$11&amp;", ","")&amp;IF(AND(BE209=1,Skills!$I$20=1),Skills!$B$12&amp;", ","")&amp;IF(AND(BF209=1,Skills!$J$20=1),Skills!$B$13&amp;", ","")&amp;IF(AND(BG209=1,Skills!$K$20=1),Skills!$B$14&amp;", ","")&amp;IF(AND(BH209=1,Skills!$L$20=1),Skills!$B$15&amp;", ","")&amp;IF(AND(BI209=1,Skills!$M$20=1),Skills!$B$16&amp;", ",""))="","",LEFT(IF(AND(AX209=1,Skills!$B$20=1),Skills!$B$5&amp;", ","")&amp;IF(AND(AY209=1,Skills!$C$20=1),Skills!$B$6&amp;", ","")&amp;IF(AND(AZ209=1,Skills!$D$20=1),Skills!$B$7&amp;", ","")&amp;IF(AND(BA209=1,Skills!$E$20=1),Skills!$B$8&amp;", ","")&amp;IF(AND(BB209=1,Skills!$F$20=1),Skills!$B$9&amp;", ","")&amp;IF(AND(BC209=1,Skills!$G$20=1),Skills!$B$10&amp;", ","")&amp;IF(AND(BD209=1,Skills!$H$20=1),Skills!$B$11&amp;", ","")&amp;IF(AND(BE209=1,Skills!$I$20=1),Skills!$B$12&amp;", ","")&amp;IF(AND(BF209=1,Skills!$J$20=1),Skills!$B$13&amp;", ","")&amp;IF(AND(BG209=1,Skills!$K$20=1),Skills!$B$14&amp;", ","")&amp;IF(AND(BH209=1,Skills!$L$20=1),Skills!$B$15&amp;", ","")&amp;IF(AND(BI209=1,Skills!$M$20=1),Skills!$B$16&amp;", ",""),LEN(IF(AND(AX209=1,Skills!$B$20=1),Skills!$B$5&amp;", ","")&amp;IF(AND(AY209=1,Skills!$C$20=1),Skills!$B$6&amp;", ","")&amp;IF(AND(AZ209=1,Skills!$D$20=1),Skills!$B$7&amp;", ","")&amp;IF(AND(BA209=1,Skills!$E$20=1),Skills!$B$8&amp;", ","")&amp;IF(AND(BB209=1,Skills!$F$20=1),Skills!$B$9&amp;", ","")&amp;IF(AND(BC209=1,Skills!$G$20=1),Skills!$B$10&amp;", ","")&amp;IF(AND(BD209=1,Skills!$H$20=1),Skills!$B$11&amp;", ","")&amp;IF(AND(BE209=1,Skills!$I$20=1),Skills!$B$12&amp;", ","")&amp;IF(AND(BF209=1,Skills!$J$20=1),Skills!$B$13&amp;", ","")&amp;IF(AND(BG209=1,Skills!$K$20=1),Skills!$B$14&amp;", ","")&amp;IF(AND(BH209=1,Skills!$L$20=1),Skills!$B$15&amp;", ","")&amp;IF(AND(BI209=1,Skills!$M$20=1),Skills!$B$16&amp;", ",""))-2)))</f>
        <v/>
      </c>
    </row>
    <row r="210">
      <c r="AD210" s="20" t="n"/>
      <c r="AE210" s="20" t="n"/>
      <c r="AF210" s="20" t="n"/>
      <c r="AG210" s="20" t="n"/>
      <c r="AH210" s="20" t="n"/>
      <c r="AI210" s="20" t="n"/>
      <c r="AJ210" s="20" t="n"/>
      <c r="AK210" s="20" t="n"/>
      <c r="AL210" s="20" t="n"/>
      <c r="AM210" s="20" t="n"/>
      <c r="AN210" s="20" t="n"/>
      <c r="AO210" s="20" t="n"/>
      <c r="AP210" s="20" t="n"/>
      <c r="AR210" s="31">
        <f>IF(IFERROR(TRIM(INDEX($A210:$AB210,MATCH(Lists!$B$5,$A$1:$AB$1,0))&amp;""),"")&lt;&gt;"",IFERROR(TRIM(INDEX($A210:$AB210,MATCH(Lists!$B$5,$A$1:$AB$1,0))&amp;""),""),IFERROR(TRIM(INDEX($A210:$AB210,MATCH(Lists!$B$3,$A$1:$AB$1,0))&amp;""),""))</f>
        <v/>
      </c>
      <c r="AS210" s="31">
        <f>IF(AR210="","",IF(IFERROR(TRIM(INDEX($A210:$AB210,MATCH(Lists!$B$5,$A$1:$AB$1,0))&amp;""),"")&lt;&gt;"","Nominated","Applied"))</f>
        <v/>
      </c>
      <c r="AT210" s="31">
        <f>IF(AR210="","",IF(IFERROR(TRIM(INDEX($A210:$AB210,MATCH(Lists!$B$5,$A$1:$AB$1,0))&amp;""),"")&lt;&gt;"",IFERROR(TRIM(INDEX($A210:$AB210,MATCH(Lists!$B$6,$A$1:$AB$1,0))&amp;""),""),IFERROR(TRIM(INDEX($A210:$AB210,MATCH(Lists!$B$4,$A$1:$AB$1,0))&amp;""),"")))</f>
        <v/>
      </c>
      <c r="AU210" s="31">
        <f>IF(AR210="","",IFERROR(TRIM(INDEX($A210:$AB210,MATCH(Lists!$B$7,$A$1:$AB$1,0))&amp;""),""))</f>
        <v/>
      </c>
      <c r="AV210" s="31">
        <f>IF(AR210="","",IFERROR(TRIM(INDEX($A210:$AB210,MATCH(Lists!$B$9,$A$1:$AB$1,0))&amp;""),""))</f>
        <v/>
      </c>
      <c r="AW210" s="31">
        <f>IF(AR210="","",IFERROR(TRIM(INDEX($A210:$AB210,MATCH(Lists!$B$8,$A$1:$AB$1,0))&amp;""),""))</f>
        <v/>
      </c>
      <c r="AX210" s="23">
        <f>IF(AR210="","",IF(OR(TRIM(AE210&amp;"")&lt;&gt;"",AND(Skills!$B$5&lt;&gt;"",ISNUMBER(SEARCH(Skills!$B$5,AU210)))),1,0))</f>
        <v/>
      </c>
      <c r="AY210" s="23">
        <f>IF(AR210="","",IF(OR(TRIM(AF210&amp;"")&lt;&gt;"",AND(Skills!$B$6&lt;&gt;"",ISNUMBER(SEARCH(Skills!$B$6,AU210)))),1,0))</f>
        <v/>
      </c>
      <c r="AZ210" s="23">
        <f>IF(AR210="","",IF(OR(TRIM(AG210&amp;"")&lt;&gt;"",AND(Skills!$B$7&lt;&gt;"",ISNUMBER(SEARCH(Skills!$B$7,AU210)))),1,0))</f>
        <v/>
      </c>
      <c r="BA210" s="23">
        <f>IF(AR210="","",IF(OR(TRIM(AH210&amp;"")&lt;&gt;"",AND(Skills!$B$8&lt;&gt;"",ISNUMBER(SEARCH(Skills!$B$8,AU210)))),1,0))</f>
        <v/>
      </c>
      <c r="BB210" s="23">
        <f>IF(AR210="","",IF(OR(TRIM(AI210&amp;"")&lt;&gt;"",AND(Skills!$B$9&lt;&gt;"",ISNUMBER(SEARCH(Skills!$B$9,AU210)))),1,0))</f>
        <v/>
      </c>
      <c r="BC210" s="23">
        <f>IF(AR210="","",IF(OR(TRIM(AJ210&amp;"")&lt;&gt;"",AND(Skills!$B$10&lt;&gt;"",ISNUMBER(SEARCH(Skills!$B$10,AU210)))),1,0))</f>
        <v/>
      </c>
      <c r="BD210" s="23">
        <f>IF(AR210="","",IF(OR(TRIM(AK210&amp;"")&lt;&gt;"",AND(Skills!$B$11&lt;&gt;"",ISNUMBER(SEARCH(Skills!$B$11,AU210)))),1,0))</f>
        <v/>
      </c>
      <c r="BE210" s="23">
        <f>IF(AR210="","",IF(OR(TRIM(AL210&amp;"")&lt;&gt;"",AND(Skills!$B$12&lt;&gt;"",ISNUMBER(SEARCH(Skills!$B$12,AU210)))),1,0))</f>
        <v/>
      </c>
      <c r="BF210" s="23">
        <f>IF(AR210="","",IF(OR(TRIM(AM210&amp;"")&lt;&gt;"",AND(Skills!$B$13&lt;&gt;"",ISNUMBER(SEARCH(Skills!$B$13,AU210)))),1,0))</f>
        <v/>
      </c>
      <c r="BG210" s="23">
        <f>IF(AR210="","",IF(OR(TRIM(AN210&amp;"")&lt;&gt;"",AND(Skills!$B$14&lt;&gt;"",ISNUMBER(SEARCH(Skills!$B$14,AU210)))),1,0))</f>
        <v/>
      </c>
      <c r="BH210" s="23">
        <f>IF(AR210="","",IF(OR(TRIM(AO210&amp;"")&lt;&gt;"",AND(Skills!$B$15&lt;&gt;"",ISNUMBER(SEARCH(Skills!$B$15,AU210)))),1,0))</f>
        <v/>
      </c>
      <c r="BI210" s="23">
        <f>IF(AR210="","",IF(OR(TRIM(AP210&amp;"")&lt;&gt;"",AND(Skills!$B$16&lt;&gt;"",ISNUMBER(SEARCH(Skills!$B$16,AU210)))),1,0))</f>
        <v/>
      </c>
      <c r="BJ210" s="23">
        <f>IF(AR210="","",SUMPRODUCT($AX210:$BI210,Skills!$B$20:$M$20))</f>
        <v/>
      </c>
      <c r="BK210" s="23">
        <f>IF(AR210="","",BJ210*100000+(100000-ROW()))</f>
        <v/>
      </c>
      <c r="BL210" s="31">
        <f>IF(AR210="","",IF((IF(AND(AX210=1,Skills!$B$20=1),Skills!$B$5&amp;", ","")&amp;IF(AND(AY210=1,Skills!$C$20=1),Skills!$B$6&amp;", ","")&amp;IF(AND(AZ210=1,Skills!$D$20=1),Skills!$B$7&amp;", ","")&amp;IF(AND(BA210=1,Skills!$E$20=1),Skills!$B$8&amp;", ","")&amp;IF(AND(BB210=1,Skills!$F$20=1),Skills!$B$9&amp;", ","")&amp;IF(AND(BC210=1,Skills!$G$20=1),Skills!$B$10&amp;", ","")&amp;IF(AND(BD210=1,Skills!$H$20=1),Skills!$B$11&amp;", ","")&amp;IF(AND(BE210=1,Skills!$I$20=1),Skills!$B$12&amp;", ","")&amp;IF(AND(BF210=1,Skills!$J$20=1),Skills!$B$13&amp;", ","")&amp;IF(AND(BG210=1,Skills!$K$20=1),Skills!$B$14&amp;", ","")&amp;IF(AND(BH210=1,Skills!$L$20=1),Skills!$B$15&amp;", ","")&amp;IF(AND(BI210=1,Skills!$M$20=1),Skills!$B$16&amp;", ",""))="","",LEFT(IF(AND(AX210=1,Skills!$B$20=1),Skills!$B$5&amp;", ","")&amp;IF(AND(AY210=1,Skills!$C$20=1),Skills!$B$6&amp;", ","")&amp;IF(AND(AZ210=1,Skills!$D$20=1),Skills!$B$7&amp;", ","")&amp;IF(AND(BA210=1,Skills!$E$20=1),Skills!$B$8&amp;", ","")&amp;IF(AND(BB210=1,Skills!$F$20=1),Skills!$B$9&amp;", ","")&amp;IF(AND(BC210=1,Skills!$G$20=1),Skills!$B$10&amp;", ","")&amp;IF(AND(BD210=1,Skills!$H$20=1),Skills!$B$11&amp;", ","")&amp;IF(AND(BE210=1,Skills!$I$20=1),Skills!$B$12&amp;", ","")&amp;IF(AND(BF210=1,Skills!$J$20=1),Skills!$B$13&amp;", ","")&amp;IF(AND(BG210=1,Skills!$K$20=1),Skills!$B$14&amp;", ","")&amp;IF(AND(BH210=1,Skills!$L$20=1),Skills!$B$15&amp;", ","")&amp;IF(AND(BI210=1,Skills!$M$20=1),Skills!$B$16&amp;", ",""),LEN(IF(AND(AX210=1,Skills!$B$20=1),Skills!$B$5&amp;", ","")&amp;IF(AND(AY210=1,Skills!$C$20=1),Skills!$B$6&amp;", ","")&amp;IF(AND(AZ210=1,Skills!$D$20=1),Skills!$B$7&amp;", ","")&amp;IF(AND(BA210=1,Skills!$E$20=1),Skills!$B$8&amp;", ","")&amp;IF(AND(BB210=1,Skills!$F$20=1),Skills!$B$9&amp;", ","")&amp;IF(AND(BC210=1,Skills!$G$20=1),Skills!$B$10&amp;", ","")&amp;IF(AND(BD210=1,Skills!$H$20=1),Skills!$B$11&amp;", ","")&amp;IF(AND(BE210=1,Skills!$I$20=1),Skills!$B$12&amp;", ","")&amp;IF(AND(BF210=1,Skills!$J$20=1),Skills!$B$13&amp;", ","")&amp;IF(AND(BG210=1,Skills!$K$20=1),Skills!$B$14&amp;", ","")&amp;IF(AND(BH210=1,Skills!$L$20=1),Skills!$B$15&amp;", ","")&amp;IF(AND(BI210=1,Skills!$M$20=1),Skills!$B$16&amp;", ",""))-2)))</f>
        <v/>
      </c>
    </row>
    <row r="211">
      <c r="AD211" s="20" t="n"/>
      <c r="AE211" s="20" t="n"/>
      <c r="AF211" s="20" t="n"/>
      <c r="AG211" s="20" t="n"/>
      <c r="AH211" s="20" t="n"/>
      <c r="AI211" s="20" t="n"/>
      <c r="AJ211" s="20" t="n"/>
      <c r="AK211" s="20" t="n"/>
      <c r="AL211" s="20" t="n"/>
      <c r="AM211" s="20" t="n"/>
      <c r="AN211" s="20" t="n"/>
      <c r="AO211" s="20" t="n"/>
      <c r="AP211" s="20" t="n"/>
      <c r="AR211" s="31">
        <f>IF(IFERROR(TRIM(INDEX($A211:$AB211,MATCH(Lists!$B$5,$A$1:$AB$1,0))&amp;""),"")&lt;&gt;"",IFERROR(TRIM(INDEX($A211:$AB211,MATCH(Lists!$B$5,$A$1:$AB$1,0))&amp;""),""),IFERROR(TRIM(INDEX($A211:$AB211,MATCH(Lists!$B$3,$A$1:$AB$1,0))&amp;""),""))</f>
        <v/>
      </c>
      <c r="AS211" s="31">
        <f>IF(AR211="","",IF(IFERROR(TRIM(INDEX($A211:$AB211,MATCH(Lists!$B$5,$A$1:$AB$1,0))&amp;""),"")&lt;&gt;"","Nominated","Applied"))</f>
        <v/>
      </c>
      <c r="AT211" s="31">
        <f>IF(AR211="","",IF(IFERROR(TRIM(INDEX($A211:$AB211,MATCH(Lists!$B$5,$A$1:$AB$1,0))&amp;""),"")&lt;&gt;"",IFERROR(TRIM(INDEX($A211:$AB211,MATCH(Lists!$B$6,$A$1:$AB$1,0))&amp;""),""),IFERROR(TRIM(INDEX($A211:$AB211,MATCH(Lists!$B$4,$A$1:$AB$1,0))&amp;""),"")))</f>
        <v/>
      </c>
      <c r="AU211" s="31">
        <f>IF(AR211="","",IFERROR(TRIM(INDEX($A211:$AB211,MATCH(Lists!$B$7,$A$1:$AB$1,0))&amp;""),""))</f>
        <v/>
      </c>
      <c r="AV211" s="31">
        <f>IF(AR211="","",IFERROR(TRIM(INDEX($A211:$AB211,MATCH(Lists!$B$9,$A$1:$AB$1,0))&amp;""),""))</f>
        <v/>
      </c>
      <c r="AW211" s="31">
        <f>IF(AR211="","",IFERROR(TRIM(INDEX($A211:$AB211,MATCH(Lists!$B$8,$A$1:$AB$1,0))&amp;""),""))</f>
        <v/>
      </c>
      <c r="AX211" s="23">
        <f>IF(AR211="","",IF(OR(TRIM(AE211&amp;"")&lt;&gt;"",AND(Skills!$B$5&lt;&gt;"",ISNUMBER(SEARCH(Skills!$B$5,AU211)))),1,0))</f>
        <v/>
      </c>
      <c r="AY211" s="23">
        <f>IF(AR211="","",IF(OR(TRIM(AF211&amp;"")&lt;&gt;"",AND(Skills!$B$6&lt;&gt;"",ISNUMBER(SEARCH(Skills!$B$6,AU211)))),1,0))</f>
        <v/>
      </c>
      <c r="AZ211" s="23">
        <f>IF(AR211="","",IF(OR(TRIM(AG211&amp;"")&lt;&gt;"",AND(Skills!$B$7&lt;&gt;"",ISNUMBER(SEARCH(Skills!$B$7,AU211)))),1,0))</f>
        <v/>
      </c>
      <c r="BA211" s="23">
        <f>IF(AR211="","",IF(OR(TRIM(AH211&amp;"")&lt;&gt;"",AND(Skills!$B$8&lt;&gt;"",ISNUMBER(SEARCH(Skills!$B$8,AU211)))),1,0))</f>
        <v/>
      </c>
      <c r="BB211" s="23">
        <f>IF(AR211="","",IF(OR(TRIM(AI211&amp;"")&lt;&gt;"",AND(Skills!$B$9&lt;&gt;"",ISNUMBER(SEARCH(Skills!$B$9,AU211)))),1,0))</f>
        <v/>
      </c>
      <c r="BC211" s="23">
        <f>IF(AR211="","",IF(OR(TRIM(AJ211&amp;"")&lt;&gt;"",AND(Skills!$B$10&lt;&gt;"",ISNUMBER(SEARCH(Skills!$B$10,AU211)))),1,0))</f>
        <v/>
      </c>
      <c r="BD211" s="23">
        <f>IF(AR211="","",IF(OR(TRIM(AK211&amp;"")&lt;&gt;"",AND(Skills!$B$11&lt;&gt;"",ISNUMBER(SEARCH(Skills!$B$11,AU211)))),1,0))</f>
        <v/>
      </c>
      <c r="BE211" s="23">
        <f>IF(AR211="","",IF(OR(TRIM(AL211&amp;"")&lt;&gt;"",AND(Skills!$B$12&lt;&gt;"",ISNUMBER(SEARCH(Skills!$B$12,AU211)))),1,0))</f>
        <v/>
      </c>
      <c r="BF211" s="23">
        <f>IF(AR211="","",IF(OR(TRIM(AM211&amp;"")&lt;&gt;"",AND(Skills!$B$13&lt;&gt;"",ISNUMBER(SEARCH(Skills!$B$13,AU211)))),1,0))</f>
        <v/>
      </c>
      <c r="BG211" s="23">
        <f>IF(AR211="","",IF(OR(TRIM(AN211&amp;"")&lt;&gt;"",AND(Skills!$B$14&lt;&gt;"",ISNUMBER(SEARCH(Skills!$B$14,AU211)))),1,0))</f>
        <v/>
      </c>
      <c r="BH211" s="23">
        <f>IF(AR211="","",IF(OR(TRIM(AO211&amp;"")&lt;&gt;"",AND(Skills!$B$15&lt;&gt;"",ISNUMBER(SEARCH(Skills!$B$15,AU211)))),1,0))</f>
        <v/>
      </c>
      <c r="BI211" s="23">
        <f>IF(AR211="","",IF(OR(TRIM(AP211&amp;"")&lt;&gt;"",AND(Skills!$B$16&lt;&gt;"",ISNUMBER(SEARCH(Skills!$B$16,AU211)))),1,0))</f>
        <v/>
      </c>
      <c r="BJ211" s="23">
        <f>IF(AR211="","",SUMPRODUCT($AX211:$BI211,Skills!$B$20:$M$20))</f>
        <v/>
      </c>
      <c r="BK211" s="23">
        <f>IF(AR211="","",BJ211*100000+(100000-ROW()))</f>
        <v/>
      </c>
      <c r="BL211" s="31">
        <f>IF(AR211="","",IF((IF(AND(AX211=1,Skills!$B$20=1),Skills!$B$5&amp;", ","")&amp;IF(AND(AY211=1,Skills!$C$20=1),Skills!$B$6&amp;", ","")&amp;IF(AND(AZ211=1,Skills!$D$20=1),Skills!$B$7&amp;", ","")&amp;IF(AND(BA211=1,Skills!$E$20=1),Skills!$B$8&amp;", ","")&amp;IF(AND(BB211=1,Skills!$F$20=1),Skills!$B$9&amp;", ","")&amp;IF(AND(BC211=1,Skills!$G$20=1),Skills!$B$10&amp;", ","")&amp;IF(AND(BD211=1,Skills!$H$20=1),Skills!$B$11&amp;", ","")&amp;IF(AND(BE211=1,Skills!$I$20=1),Skills!$B$12&amp;", ","")&amp;IF(AND(BF211=1,Skills!$J$20=1),Skills!$B$13&amp;", ","")&amp;IF(AND(BG211=1,Skills!$K$20=1),Skills!$B$14&amp;", ","")&amp;IF(AND(BH211=1,Skills!$L$20=1),Skills!$B$15&amp;", ","")&amp;IF(AND(BI211=1,Skills!$M$20=1),Skills!$B$16&amp;", ",""))="","",LEFT(IF(AND(AX211=1,Skills!$B$20=1),Skills!$B$5&amp;", ","")&amp;IF(AND(AY211=1,Skills!$C$20=1),Skills!$B$6&amp;", ","")&amp;IF(AND(AZ211=1,Skills!$D$20=1),Skills!$B$7&amp;", ","")&amp;IF(AND(BA211=1,Skills!$E$20=1),Skills!$B$8&amp;", ","")&amp;IF(AND(BB211=1,Skills!$F$20=1),Skills!$B$9&amp;", ","")&amp;IF(AND(BC211=1,Skills!$G$20=1),Skills!$B$10&amp;", ","")&amp;IF(AND(BD211=1,Skills!$H$20=1),Skills!$B$11&amp;", ","")&amp;IF(AND(BE211=1,Skills!$I$20=1),Skills!$B$12&amp;", ","")&amp;IF(AND(BF211=1,Skills!$J$20=1),Skills!$B$13&amp;", ","")&amp;IF(AND(BG211=1,Skills!$K$20=1),Skills!$B$14&amp;", ","")&amp;IF(AND(BH211=1,Skills!$L$20=1),Skills!$B$15&amp;", ","")&amp;IF(AND(BI211=1,Skills!$M$20=1),Skills!$B$16&amp;", ",""),LEN(IF(AND(AX211=1,Skills!$B$20=1),Skills!$B$5&amp;", ","")&amp;IF(AND(AY211=1,Skills!$C$20=1),Skills!$B$6&amp;", ","")&amp;IF(AND(AZ211=1,Skills!$D$20=1),Skills!$B$7&amp;", ","")&amp;IF(AND(BA211=1,Skills!$E$20=1),Skills!$B$8&amp;", ","")&amp;IF(AND(BB211=1,Skills!$F$20=1),Skills!$B$9&amp;", ","")&amp;IF(AND(BC211=1,Skills!$G$20=1),Skills!$B$10&amp;", ","")&amp;IF(AND(BD211=1,Skills!$H$20=1),Skills!$B$11&amp;", ","")&amp;IF(AND(BE211=1,Skills!$I$20=1),Skills!$B$12&amp;", ","")&amp;IF(AND(BF211=1,Skills!$J$20=1),Skills!$B$13&amp;", ","")&amp;IF(AND(BG211=1,Skills!$K$20=1),Skills!$B$14&amp;", ","")&amp;IF(AND(BH211=1,Skills!$L$20=1),Skills!$B$15&amp;", ","")&amp;IF(AND(BI211=1,Skills!$M$20=1),Skills!$B$16&amp;", ",""))-2)))</f>
        <v/>
      </c>
    </row>
    <row r="212">
      <c r="AD212" s="20" t="n"/>
      <c r="AE212" s="20" t="n"/>
      <c r="AF212" s="20" t="n"/>
      <c r="AG212" s="20" t="n"/>
      <c r="AH212" s="20" t="n"/>
      <c r="AI212" s="20" t="n"/>
      <c r="AJ212" s="20" t="n"/>
      <c r="AK212" s="20" t="n"/>
      <c r="AL212" s="20" t="n"/>
      <c r="AM212" s="20" t="n"/>
      <c r="AN212" s="20" t="n"/>
      <c r="AO212" s="20" t="n"/>
      <c r="AP212" s="20" t="n"/>
      <c r="AR212" s="31">
        <f>IF(IFERROR(TRIM(INDEX($A212:$AB212,MATCH(Lists!$B$5,$A$1:$AB$1,0))&amp;""),"")&lt;&gt;"",IFERROR(TRIM(INDEX($A212:$AB212,MATCH(Lists!$B$5,$A$1:$AB$1,0))&amp;""),""),IFERROR(TRIM(INDEX($A212:$AB212,MATCH(Lists!$B$3,$A$1:$AB$1,0))&amp;""),""))</f>
        <v/>
      </c>
      <c r="AS212" s="31">
        <f>IF(AR212="","",IF(IFERROR(TRIM(INDEX($A212:$AB212,MATCH(Lists!$B$5,$A$1:$AB$1,0))&amp;""),"")&lt;&gt;"","Nominated","Applied"))</f>
        <v/>
      </c>
      <c r="AT212" s="31">
        <f>IF(AR212="","",IF(IFERROR(TRIM(INDEX($A212:$AB212,MATCH(Lists!$B$5,$A$1:$AB$1,0))&amp;""),"")&lt;&gt;"",IFERROR(TRIM(INDEX($A212:$AB212,MATCH(Lists!$B$6,$A$1:$AB$1,0))&amp;""),""),IFERROR(TRIM(INDEX($A212:$AB212,MATCH(Lists!$B$4,$A$1:$AB$1,0))&amp;""),"")))</f>
        <v/>
      </c>
      <c r="AU212" s="31">
        <f>IF(AR212="","",IFERROR(TRIM(INDEX($A212:$AB212,MATCH(Lists!$B$7,$A$1:$AB$1,0))&amp;""),""))</f>
        <v/>
      </c>
      <c r="AV212" s="31">
        <f>IF(AR212="","",IFERROR(TRIM(INDEX($A212:$AB212,MATCH(Lists!$B$9,$A$1:$AB$1,0))&amp;""),""))</f>
        <v/>
      </c>
      <c r="AW212" s="31">
        <f>IF(AR212="","",IFERROR(TRIM(INDEX($A212:$AB212,MATCH(Lists!$B$8,$A$1:$AB$1,0))&amp;""),""))</f>
        <v/>
      </c>
      <c r="AX212" s="23">
        <f>IF(AR212="","",IF(OR(TRIM(AE212&amp;"")&lt;&gt;"",AND(Skills!$B$5&lt;&gt;"",ISNUMBER(SEARCH(Skills!$B$5,AU212)))),1,0))</f>
        <v/>
      </c>
      <c r="AY212" s="23">
        <f>IF(AR212="","",IF(OR(TRIM(AF212&amp;"")&lt;&gt;"",AND(Skills!$B$6&lt;&gt;"",ISNUMBER(SEARCH(Skills!$B$6,AU212)))),1,0))</f>
        <v/>
      </c>
      <c r="AZ212" s="23">
        <f>IF(AR212="","",IF(OR(TRIM(AG212&amp;"")&lt;&gt;"",AND(Skills!$B$7&lt;&gt;"",ISNUMBER(SEARCH(Skills!$B$7,AU212)))),1,0))</f>
        <v/>
      </c>
      <c r="BA212" s="23">
        <f>IF(AR212="","",IF(OR(TRIM(AH212&amp;"")&lt;&gt;"",AND(Skills!$B$8&lt;&gt;"",ISNUMBER(SEARCH(Skills!$B$8,AU212)))),1,0))</f>
        <v/>
      </c>
      <c r="BB212" s="23">
        <f>IF(AR212="","",IF(OR(TRIM(AI212&amp;"")&lt;&gt;"",AND(Skills!$B$9&lt;&gt;"",ISNUMBER(SEARCH(Skills!$B$9,AU212)))),1,0))</f>
        <v/>
      </c>
      <c r="BC212" s="23">
        <f>IF(AR212="","",IF(OR(TRIM(AJ212&amp;"")&lt;&gt;"",AND(Skills!$B$10&lt;&gt;"",ISNUMBER(SEARCH(Skills!$B$10,AU212)))),1,0))</f>
        <v/>
      </c>
      <c r="BD212" s="23">
        <f>IF(AR212="","",IF(OR(TRIM(AK212&amp;"")&lt;&gt;"",AND(Skills!$B$11&lt;&gt;"",ISNUMBER(SEARCH(Skills!$B$11,AU212)))),1,0))</f>
        <v/>
      </c>
      <c r="BE212" s="23">
        <f>IF(AR212="","",IF(OR(TRIM(AL212&amp;"")&lt;&gt;"",AND(Skills!$B$12&lt;&gt;"",ISNUMBER(SEARCH(Skills!$B$12,AU212)))),1,0))</f>
        <v/>
      </c>
      <c r="BF212" s="23">
        <f>IF(AR212="","",IF(OR(TRIM(AM212&amp;"")&lt;&gt;"",AND(Skills!$B$13&lt;&gt;"",ISNUMBER(SEARCH(Skills!$B$13,AU212)))),1,0))</f>
        <v/>
      </c>
      <c r="BG212" s="23">
        <f>IF(AR212="","",IF(OR(TRIM(AN212&amp;"")&lt;&gt;"",AND(Skills!$B$14&lt;&gt;"",ISNUMBER(SEARCH(Skills!$B$14,AU212)))),1,0))</f>
        <v/>
      </c>
      <c r="BH212" s="23">
        <f>IF(AR212="","",IF(OR(TRIM(AO212&amp;"")&lt;&gt;"",AND(Skills!$B$15&lt;&gt;"",ISNUMBER(SEARCH(Skills!$B$15,AU212)))),1,0))</f>
        <v/>
      </c>
      <c r="BI212" s="23">
        <f>IF(AR212="","",IF(OR(TRIM(AP212&amp;"")&lt;&gt;"",AND(Skills!$B$16&lt;&gt;"",ISNUMBER(SEARCH(Skills!$B$16,AU212)))),1,0))</f>
        <v/>
      </c>
      <c r="BJ212" s="23">
        <f>IF(AR212="","",SUMPRODUCT($AX212:$BI212,Skills!$B$20:$M$20))</f>
        <v/>
      </c>
      <c r="BK212" s="23">
        <f>IF(AR212="","",BJ212*100000+(100000-ROW()))</f>
        <v/>
      </c>
      <c r="BL212" s="31">
        <f>IF(AR212="","",IF((IF(AND(AX212=1,Skills!$B$20=1),Skills!$B$5&amp;", ","")&amp;IF(AND(AY212=1,Skills!$C$20=1),Skills!$B$6&amp;", ","")&amp;IF(AND(AZ212=1,Skills!$D$20=1),Skills!$B$7&amp;", ","")&amp;IF(AND(BA212=1,Skills!$E$20=1),Skills!$B$8&amp;", ","")&amp;IF(AND(BB212=1,Skills!$F$20=1),Skills!$B$9&amp;", ","")&amp;IF(AND(BC212=1,Skills!$G$20=1),Skills!$B$10&amp;", ","")&amp;IF(AND(BD212=1,Skills!$H$20=1),Skills!$B$11&amp;", ","")&amp;IF(AND(BE212=1,Skills!$I$20=1),Skills!$B$12&amp;", ","")&amp;IF(AND(BF212=1,Skills!$J$20=1),Skills!$B$13&amp;", ","")&amp;IF(AND(BG212=1,Skills!$K$20=1),Skills!$B$14&amp;", ","")&amp;IF(AND(BH212=1,Skills!$L$20=1),Skills!$B$15&amp;", ","")&amp;IF(AND(BI212=1,Skills!$M$20=1),Skills!$B$16&amp;", ",""))="","",LEFT(IF(AND(AX212=1,Skills!$B$20=1),Skills!$B$5&amp;", ","")&amp;IF(AND(AY212=1,Skills!$C$20=1),Skills!$B$6&amp;", ","")&amp;IF(AND(AZ212=1,Skills!$D$20=1),Skills!$B$7&amp;", ","")&amp;IF(AND(BA212=1,Skills!$E$20=1),Skills!$B$8&amp;", ","")&amp;IF(AND(BB212=1,Skills!$F$20=1),Skills!$B$9&amp;", ","")&amp;IF(AND(BC212=1,Skills!$G$20=1),Skills!$B$10&amp;", ","")&amp;IF(AND(BD212=1,Skills!$H$20=1),Skills!$B$11&amp;", ","")&amp;IF(AND(BE212=1,Skills!$I$20=1),Skills!$B$12&amp;", ","")&amp;IF(AND(BF212=1,Skills!$J$20=1),Skills!$B$13&amp;", ","")&amp;IF(AND(BG212=1,Skills!$K$20=1),Skills!$B$14&amp;", ","")&amp;IF(AND(BH212=1,Skills!$L$20=1),Skills!$B$15&amp;", ","")&amp;IF(AND(BI212=1,Skills!$M$20=1),Skills!$B$16&amp;", ",""),LEN(IF(AND(AX212=1,Skills!$B$20=1),Skills!$B$5&amp;", ","")&amp;IF(AND(AY212=1,Skills!$C$20=1),Skills!$B$6&amp;", ","")&amp;IF(AND(AZ212=1,Skills!$D$20=1),Skills!$B$7&amp;", ","")&amp;IF(AND(BA212=1,Skills!$E$20=1),Skills!$B$8&amp;", ","")&amp;IF(AND(BB212=1,Skills!$F$20=1),Skills!$B$9&amp;", ","")&amp;IF(AND(BC212=1,Skills!$G$20=1),Skills!$B$10&amp;", ","")&amp;IF(AND(BD212=1,Skills!$H$20=1),Skills!$B$11&amp;", ","")&amp;IF(AND(BE212=1,Skills!$I$20=1),Skills!$B$12&amp;", ","")&amp;IF(AND(BF212=1,Skills!$J$20=1),Skills!$B$13&amp;", ","")&amp;IF(AND(BG212=1,Skills!$K$20=1),Skills!$B$14&amp;", ","")&amp;IF(AND(BH212=1,Skills!$L$20=1),Skills!$B$15&amp;", ","")&amp;IF(AND(BI212=1,Skills!$M$20=1),Skills!$B$16&amp;", ",""))-2)))</f>
        <v/>
      </c>
    </row>
    <row r="213">
      <c r="AD213" s="20" t="n"/>
      <c r="AE213" s="20" t="n"/>
      <c r="AF213" s="20" t="n"/>
      <c r="AG213" s="20" t="n"/>
      <c r="AH213" s="20" t="n"/>
      <c r="AI213" s="20" t="n"/>
      <c r="AJ213" s="20" t="n"/>
      <c r="AK213" s="20" t="n"/>
      <c r="AL213" s="20" t="n"/>
      <c r="AM213" s="20" t="n"/>
      <c r="AN213" s="20" t="n"/>
      <c r="AO213" s="20" t="n"/>
      <c r="AP213" s="20" t="n"/>
      <c r="AR213" s="31">
        <f>IF(IFERROR(TRIM(INDEX($A213:$AB213,MATCH(Lists!$B$5,$A$1:$AB$1,0))&amp;""),"")&lt;&gt;"",IFERROR(TRIM(INDEX($A213:$AB213,MATCH(Lists!$B$5,$A$1:$AB$1,0))&amp;""),""),IFERROR(TRIM(INDEX($A213:$AB213,MATCH(Lists!$B$3,$A$1:$AB$1,0))&amp;""),""))</f>
        <v/>
      </c>
      <c r="AS213" s="31">
        <f>IF(AR213="","",IF(IFERROR(TRIM(INDEX($A213:$AB213,MATCH(Lists!$B$5,$A$1:$AB$1,0))&amp;""),"")&lt;&gt;"","Nominated","Applied"))</f>
        <v/>
      </c>
      <c r="AT213" s="31">
        <f>IF(AR213="","",IF(IFERROR(TRIM(INDEX($A213:$AB213,MATCH(Lists!$B$5,$A$1:$AB$1,0))&amp;""),"")&lt;&gt;"",IFERROR(TRIM(INDEX($A213:$AB213,MATCH(Lists!$B$6,$A$1:$AB$1,0))&amp;""),""),IFERROR(TRIM(INDEX($A213:$AB213,MATCH(Lists!$B$4,$A$1:$AB$1,0))&amp;""),"")))</f>
        <v/>
      </c>
      <c r="AU213" s="31">
        <f>IF(AR213="","",IFERROR(TRIM(INDEX($A213:$AB213,MATCH(Lists!$B$7,$A$1:$AB$1,0))&amp;""),""))</f>
        <v/>
      </c>
      <c r="AV213" s="31">
        <f>IF(AR213="","",IFERROR(TRIM(INDEX($A213:$AB213,MATCH(Lists!$B$9,$A$1:$AB$1,0))&amp;""),""))</f>
        <v/>
      </c>
      <c r="AW213" s="31">
        <f>IF(AR213="","",IFERROR(TRIM(INDEX($A213:$AB213,MATCH(Lists!$B$8,$A$1:$AB$1,0))&amp;""),""))</f>
        <v/>
      </c>
      <c r="AX213" s="23">
        <f>IF(AR213="","",IF(OR(TRIM(AE213&amp;"")&lt;&gt;"",AND(Skills!$B$5&lt;&gt;"",ISNUMBER(SEARCH(Skills!$B$5,AU213)))),1,0))</f>
        <v/>
      </c>
      <c r="AY213" s="23">
        <f>IF(AR213="","",IF(OR(TRIM(AF213&amp;"")&lt;&gt;"",AND(Skills!$B$6&lt;&gt;"",ISNUMBER(SEARCH(Skills!$B$6,AU213)))),1,0))</f>
        <v/>
      </c>
      <c r="AZ213" s="23">
        <f>IF(AR213="","",IF(OR(TRIM(AG213&amp;"")&lt;&gt;"",AND(Skills!$B$7&lt;&gt;"",ISNUMBER(SEARCH(Skills!$B$7,AU213)))),1,0))</f>
        <v/>
      </c>
      <c r="BA213" s="23">
        <f>IF(AR213="","",IF(OR(TRIM(AH213&amp;"")&lt;&gt;"",AND(Skills!$B$8&lt;&gt;"",ISNUMBER(SEARCH(Skills!$B$8,AU213)))),1,0))</f>
        <v/>
      </c>
      <c r="BB213" s="23">
        <f>IF(AR213="","",IF(OR(TRIM(AI213&amp;"")&lt;&gt;"",AND(Skills!$B$9&lt;&gt;"",ISNUMBER(SEARCH(Skills!$B$9,AU213)))),1,0))</f>
        <v/>
      </c>
      <c r="BC213" s="23">
        <f>IF(AR213="","",IF(OR(TRIM(AJ213&amp;"")&lt;&gt;"",AND(Skills!$B$10&lt;&gt;"",ISNUMBER(SEARCH(Skills!$B$10,AU213)))),1,0))</f>
        <v/>
      </c>
      <c r="BD213" s="23">
        <f>IF(AR213="","",IF(OR(TRIM(AK213&amp;"")&lt;&gt;"",AND(Skills!$B$11&lt;&gt;"",ISNUMBER(SEARCH(Skills!$B$11,AU213)))),1,0))</f>
        <v/>
      </c>
      <c r="BE213" s="23">
        <f>IF(AR213="","",IF(OR(TRIM(AL213&amp;"")&lt;&gt;"",AND(Skills!$B$12&lt;&gt;"",ISNUMBER(SEARCH(Skills!$B$12,AU213)))),1,0))</f>
        <v/>
      </c>
      <c r="BF213" s="23">
        <f>IF(AR213="","",IF(OR(TRIM(AM213&amp;"")&lt;&gt;"",AND(Skills!$B$13&lt;&gt;"",ISNUMBER(SEARCH(Skills!$B$13,AU213)))),1,0))</f>
        <v/>
      </c>
      <c r="BG213" s="23">
        <f>IF(AR213="","",IF(OR(TRIM(AN213&amp;"")&lt;&gt;"",AND(Skills!$B$14&lt;&gt;"",ISNUMBER(SEARCH(Skills!$B$14,AU213)))),1,0))</f>
        <v/>
      </c>
      <c r="BH213" s="23">
        <f>IF(AR213="","",IF(OR(TRIM(AO213&amp;"")&lt;&gt;"",AND(Skills!$B$15&lt;&gt;"",ISNUMBER(SEARCH(Skills!$B$15,AU213)))),1,0))</f>
        <v/>
      </c>
      <c r="BI213" s="23">
        <f>IF(AR213="","",IF(OR(TRIM(AP213&amp;"")&lt;&gt;"",AND(Skills!$B$16&lt;&gt;"",ISNUMBER(SEARCH(Skills!$B$16,AU213)))),1,0))</f>
        <v/>
      </c>
      <c r="BJ213" s="23">
        <f>IF(AR213="","",SUMPRODUCT($AX213:$BI213,Skills!$B$20:$M$20))</f>
        <v/>
      </c>
      <c r="BK213" s="23">
        <f>IF(AR213="","",BJ213*100000+(100000-ROW()))</f>
        <v/>
      </c>
      <c r="BL213" s="31">
        <f>IF(AR213="","",IF((IF(AND(AX213=1,Skills!$B$20=1),Skills!$B$5&amp;", ","")&amp;IF(AND(AY213=1,Skills!$C$20=1),Skills!$B$6&amp;", ","")&amp;IF(AND(AZ213=1,Skills!$D$20=1),Skills!$B$7&amp;", ","")&amp;IF(AND(BA213=1,Skills!$E$20=1),Skills!$B$8&amp;", ","")&amp;IF(AND(BB213=1,Skills!$F$20=1),Skills!$B$9&amp;", ","")&amp;IF(AND(BC213=1,Skills!$G$20=1),Skills!$B$10&amp;", ","")&amp;IF(AND(BD213=1,Skills!$H$20=1),Skills!$B$11&amp;", ","")&amp;IF(AND(BE213=1,Skills!$I$20=1),Skills!$B$12&amp;", ","")&amp;IF(AND(BF213=1,Skills!$J$20=1),Skills!$B$13&amp;", ","")&amp;IF(AND(BG213=1,Skills!$K$20=1),Skills!$B$14&amp;", ","")&amp;IF(AND(BH213=1,Skills!$L$20=1),Skills!$B$15&amp;", ","")&amp;IF(AND(BI213=1,Skills!$M$20=1),Skills!$B$16&amp;", ",""))="","",LEFT(IF(AND(AX213=1,Skills!$B$20=1),Skills!$B$5&amp;", ","")&amp;IF(AND(AY213=1,Skills!$C$20=1),Skills!$B$6&amp;", ","")&amp;IF(AND(AZ213=1,Skills!$D$20=1),Skills!$B$7&amp;", ","")&amp;IF(AND(BA213=1,Skills!$E$20=1),Skills!$B$8&amp;", ","")&amp;IF(AND(BB213=1,Skills!$F$20=1),Skills!$B$9&amp;", ","")&amp;IF(AND(BC213=1,Skills!$G$20=1),Skills!$B$10&amp;", ","")&amp;IF(AND(BD213=1,Skills!$H$20=1),Skills!$B$11&amp;", ","")&amp;IF(AND(BE213=1,Skills!$I$20=1),Skills!$B$12&amp;", ","")&amp;IF(AND(BF213=1,Skills!$J$20=1),Skills!$B$13&amp;", ","")&amp;IF(AND(BG213=1,Skills!$K$20=1),Skills!$B$14&amp;", ","")&amp;IF(AND(BH213=1,Skills!$L$20=1),Skills!$B$15&amp;", ","")&amp;IF(AND(BI213=1,Skills!$M$20=1),Skills!$B$16&amp;", ",""),LEN(IF(AND(AX213=1,Skills!$B$20=1),Skills!$B$5&amp;", ","")&amp;IF(AND(AY213=1,Skills!$C$20=1),Skills!$B$6&amp;", ","")&amp;IF(AND(AZ213=1,Skills!$D$20=1),Skills!$B$7&amp;", ","")&amp;IF(AND(BA213=1,Skills!$E$20=1),Skills!$B$8&amp;", ","")&amp;IF(AND(BB213=1,Skills!$F$20=1),Skills!$B$9&amp;", ","")&amp;IF(AND(BC213=1,Skills!$G$20=1),Skills!$B$10&amp;", ","")&amp;IF(AND(BD213=1,Skills!$H$20=1),Skills!$B$11&amp;", ","")&amp;IF(AND(BE213=1,Skills!$I$20=1),Skills!$B$12&amp;", ","")&amp;IF(AND(BF213=1,Skills!$J$20=1),Skills!$B$13&amp;", ","")&amp;IF(AND(BG213=1,Skills!$K$20=1),Skills!$B$14&amp;", ","")&amp;IF(AND(BH213=1,Skills!$L$20=1),Skills!$B$15&amp;", ","")&amp;IF(AND(BI213=1,Skills!$M$20=1),Skills!$B$16&amp;", ",""))-2)))</f>
        <v/>
      </c>
    </row>
    <row r="214">
      <c r="AD214" s="20" t="n"/>
      <c r="AE214" s="20" t="n"/>
      <c r="AF214" s="20" t="n"/>
      <c r="AG214" s="20" t="n"/>
      <c r="AH214" s="20" t="n"/>
      <c r="AI214" s="20" t="n"/>
      <c r="AJ214" s="20" t="n"/>
      <c r="AK214" s="20" t="n"/>
      <c r="AL214" s="20" t="n"/>
      <c r="AM214" s="20" t="n"/>
      <c r="AN214" s="20" t="n"/>
      <c r="AO214" s="20" t="n"/>
      <c r="AP214" s="20" t="n"/>
      <c r="AR214" s="31">
        <f>IF(IFERROR(TRIM(INDEX($A214:$AB214,MATCH(Lists!$B$5,$A$1:$AB$1,0))&amp;""),"")&lt;&gt;"",IFERROR(TRIM(INDEX($A214:$AB214,MATCH(Lists!$B$5,$A$1:$AB$1,0))&amp;""),""),IFERROR(TRIM(INDEX($A214:$AB214,MATCH(Lists!$B$3,$A$1:$AB$1,0))&amp;""),""))</f>
        <v/>
      </c>
      <c r="AS214" s="31">
        <f>IF(AR214="","",IF(IFERROR(TRIM(INDEX($A214:$AB214,MATCH(Lists!$B$5,$A$1:$AB$1,0))&amp;""),"")&lt;&gt;"","Nominated","Applied"))</f>
        <v/>
      </c>
      <c r="AT214" s="31">
        <f>IF(AR214="","",IF(IFERROR(TRIM(INDEX($A214:$AB214,MATCH(Lists!$B$5,$A$1:$AB$1,0))&amp;""),"")&lt;&gt;"",IFERROR(TRIM(INDEX($A214:$AB214,MATCH(Lists!$B$6,$A$1:$AB$1,0))&amp;""),""),IFERROR(TRIM(INDEX($A214:$AB214,MATCH(Lists!$B$4,$A$1:$AB$1,0))&amp;""),"")))</f>
        <v/>
      </c>
      <c r="AU214" s="31">
        <f>IF(AR214="","",IFERROR(TRIM(INDEX($A214:$AB214,MATCH(Lists!$B$7,$A$1:$AB$1,0))&amp;""),""))</f>
        <v/>
      </c>
      <c r="AV214" s="31">
        <f>IF(AR214="","",IFERROR(TRIM(INDEX($A214:$AB214,MATCH(Lists!$B$9,$A$1:$AB$1,0))&amp;""),""))</f>
        <v/>
      </c>
      <c r="AW214" s="31">
        <f>IF(AR214="","",IFERROR(TRIM(INDEX($A214:$AB214,MATCH(Lists!$B$8,$A$1:$AB$1,0))&amp;""),""))</f>
        <v/>
      </c>
      <c r="AX214" s="23">
        <f>IF(AR214="","",IF(OR(TRIM(AE214&amp;"")&lt;&gt;"",AND(Skills!$B$5&lt;&gt;"",ISNUMBER(SEARCH(Skills!$B$5,AU214)))),1,0))</f>
        <v/>
      </c>
      <c r="AY214" s="23">
        <f>IF(AR214="","",IF(OR(TRIM(AF214&amp;"")&lt;&gt;"",AND(Skills!$B$6&lt;&gt;"",ISNUMBER(SEARCH(Skills!$B$6,AU214)))),1,0))</f>
        <v/>
      </c>
      <c r="AZ214" s="23">
        <f>IF(AR214="","",IF(OR(TRIM(AG214&amp;"")&lt;&gt;"",AND(Skills!$B$7&lt;&gt;"",ISNUMBER(SEARCH(Skills!$B$7,AU214)))),1,0))</f>
        <v/>
      </c>
      <c r="BA214" s="23">
        <f>IF(AR214="","",IF(OR(TRIM(AH214&amp;"")&lt;&gt;"",AND(Skills!$B$8&lt;&gt;"",ISNUMBER(SEARCH(Skills!$B$8,AU214)))),1,0))</f>
        <v/>
      </c>
      <c r="BB214" s="23">
        <f>IF(AR214="","",IF(OR(TRIM(AI214&amp;"")&lt;&gt;"",AND(Skills!$B$9&lt;&gt;"",ISNUMBER(SEARCH(Skills!$B$9,AU214)))),1,0))</f>
        <v/>
      </c>
      <c r="BC214" s="23">
        <f>IF(AR214="","",IF(OR(TRIM(AJ214&amp;"")&lt;&gt;"",AND(Skills!$B$10&lt;&gt;"",ISNUMBER(SEARCH(Skills!$B$10,AU214)))),1,0))</f>
        <v/>
      </c>
      <c r="BD214" s="23">
        <f>IF(AR214="","",IF(OR(TRIM(AK214&amp;"")&lt;&gt;"",AND(Skills!$B$11&lt;&gt;"",ISNUMBER(SEARCH(Skills!$B$11,AU214)))),1,0))</f>
        <v/>
      </c>
      <c r="BE214" s="23">
        <f>IF(AR214="","",IF(OR(TRIM(AL214&amp;"")&lt;&gt;"",AND(Skills!$B$12&lt;&gt;"",ISNUMBER(SEARCH(Skills!$B$12,AU214)))),1,0))</f>
        <v/>
      </c>
      <c r="BF214" s="23">
        <f>IF(AR214="","",IF(OR(TRIM(AM214&amp;"")&lt;&gt;"",AND(Skills!$B$13&lt;&gt;"",ISNUMBER(SEARCH(Skills!$B$13,AU214)))),1,0))</f>
        <v/>
      </c>
      <c r="BG214" s="23">
        <f>IF(AR214="","",IF(OR(TRIM(AN214&amp;"")&lt;&gt;"",AND(Skills!$B$14&lt;&gt;"",ISNUMBER(SEARCH(Skills!$B$14,AU214)))),1,0))</f>
        <v/>
      </c>
      <c r="BH214" s="23">
        <f>IF(AR214="","",IF(OR(TRIM(AO214&amp;"")&lt;&gt;"",AND(Skills!$B$15&lt;&gt;"",ISNUMBER(SEARCH(Skills!$B$15,AU214)))),1,0))</f>
        <v/>
      </c>
      <c r="BI214" s="23">
        <f>IF(AR214="","",IF(OR(TRIM(AP214&amp;"")&lt;&gt;"",AND(Skills!$B$16&lt;&gt;"",ISNUMBER(SEARCH(Skills!$B$16,AU214)))),1,0))</f>
        <v/>
      </c>
      <c r="BJ214" s="23">
        <f>IF(AR214="","",SUMPRODUCT($AX214:$BI214,Skills!$B$20:$M$20))</f>
        <v/>
      </c>
      <c r="BK214" s="23">
        <f>IF(AR214="","",BJ214*100000+(100000-ROW()))</f>
        <v/>
      </c>
      <c r="BL214" s="31">
        <f>IF(AR214="","",IF((IF(AND(AX214=1,Skills!$B$20=1),Skills!$B$5&amp;", ","")&amp;IF(AND(AY214=1,Skills!$C$20=1),Skills!$B$6&amp;", ","")&amp;IF(AND(AZ214=1,Skills!$D$20=1),Skills!$B$7&amp;", ","")&amp;IF(AND(BA214=1,Skills!$E$20=1),Skills!$B$8&amp;", ","")&amp;IF(AND(BB214=1,Skills!$F$20=1),Skills!$B$9&amp;", ","")&amp;IF(AND(BC214=1,Skills!$G$20=1),Skills!$B$10&amp;", ","")&amp;IF(AND(BD214=1,Skills!$H$20=1),Skills!$B$11&amp;", ","")&amp;IF(AND(BE214=1,Skills!$I$20=1),Skills!$B$12&amp;", ","")&amp;IF(AND(BF214=1,Skills!$J$20=1),Skills!$B$13&amp;", ","")&amp;IF(AND(BG214=1,Skills!$K$20=1),Skills!$B$14&amp;", ","")&amp;IF(AND(BH214=1,Skills!$L$20=1),Skills!$B$15&amp;", ","")&amp;IF(AND(BI214=1,Skills!$M$20=1),Skills!$B$16&amp;", ",""))="","",LEFT(IF(AND(AX214=1,Skills!$B$20=1),Skills!$B$5&amp;", ","")&amp;IF(AND(AY214=1,Skills!$C$20=1),Skills!$B$6&amp;", ","")&amp;IF(AND(AZ214=1,Skills!$D$20=1),Skills!$B$7&amp;", ","")&amp;IF(AND(BA214=1,Skills!$E$20=1),Skills!$B$8&amp;", ","")&amp;IF(AND(BB214=1,Skills!$F$20=1),Skills!$B$9&amp;", ","")&amp;IF(AND(BC214=1,Skills!$G$20=1),Skills!$B$10&amp;", ","")&amp;IF(AND(BD214=1,Skills!$H$20=1),Skills!$B$11&amp;", ","")&amp;IF(AND(BE214=1,Skills!$I$20=1),Skills!$B$12&amp;", ","")&amp;IF(AND(BF214=1,Skills!$J$20=1),Skills!$B$13&amp;", ","")&amp;IF(AND(BG214=1,Skills!$K$20=1),Skills!$B$14&amp;", ","")&amp;IF(AND(BH214=1,Skills!$L$20=1),Skills!$B$15&amp;", ","")&amp;IF(AND(BI214=1,Skills!$M$20=1),Skills!$B$16&amp;", ",""),LEN(IF(AND(AX214=1,Skills!$B$20=1),Skills!$B$5&amp;", ","")&amp;IF(AND(AY214=1,Skills!$C$20=1),Skills!$B$6&amp;", ","")&amp;IF(AND(AZ214=1,Skills!$D$20=1),Skills!$B$7&amp;", ","")&amp;IF(AND(BA214=1,Skills!$E$20=1),Skills!$B$8&amp;", ","")&amp;IF(AND(BB214=1,Skills!$F$20=1),Skills!$B$9&amp;", ","")&amp;IF(AND(BC214=1,Skills!$G$20=1),Skills!$B$10&amp;", ","")&amp;IF(AND(BD214=1,Skills!$H$20=1),Skills!$B$11&amp;", ","")&amp;IF(AND(BE214=1,Skills!$I$20=1),Skills!$B$12&amp;", ","")&amp;IF(AND(BF214=1,Skills!$J$20=1),Skills!$B$13&amp;", ","")&amp;IF(AND(BG214=1,Skills!$K$20=1),Skills!$B$14&amp;", ","")&amp;IF(AND(BH214=1,Skills!$L$20=1),Skills!$B$15&amp;", ","")&amp;IF(AND(BI214=1,Skills!$M$20=1),Skills!$B$16&amp;", ",""))-2)))</f>
        <v/>
      </c>
    </row>
    <row r="215">
      <c r="AD215" s="20" t="n"/>
      <c r="AE215" s="20" t="n"/>
      <c r="AF215" s="20" t="n"/>
      <c r="AG215" s="20" t="n"/>
      <c r="AH215" s="20" t="n"/>
      <c r="AI215" s="20" t="n"/>
      <c r="AJ215" s="20" t="n"/>
      <c r="AK215" s="20" t="n"/>
      <c r="AL215" s="20" t="n"/>
      <c r="AM215" s="20" t="n"/>
      <c r="AN215" s="20" t="n"/>
      <c r="AO215" s="20" t="n"/>
      <c r="AP215" s="20" t="n"/>
      <c r="AR215" s="31">
        <f>IF(IFERROR(TRIM(INDEX($A215:$AB215,MATCH(Lists!$B$5,$A$1:$AB$1,0))&amp;""),"")&lt;&gt;"",IFERROR(TRIM(INDEX($A215:$AB215,MATCH(Lists!$B$5,$A$1:$AB$1,0))&amp;""),""),IFERROR(TRIM(INDEX($A215:$AB215,MATCH(Lists!$B$3,$A$1:$AB$1,0))&amp;""),""))</f>
        <v/>
      </c>
      <c r="AS215" s="31">
        <f>IF(AR215="","",IF(IFERROR(TRIM(INDEX($A215:$AB215,MATCH(Lists!$B$5,$A$1:$AB$1,0))&amp;""),"")&lt;&gt;"","Nominated","Applied"))</f>
        <v/>
      </c>
      <c r="AT215" s="31">
        <f>IF(AR215="","",IF(IFERROR(TRIM(INDEX($A215:$AB215,MATCH(Lists!$B$5,$A$1:$AB$1,0))&amp;""),"")&lt;&gt;"",IFERROR(TRIM(INDEX($A215:$AB215,MATCH(Lists!$B$6,$A$1:$AB$1,0))&amp;""),""),IFERROR(TRIM(INDEX($A215:$AB215,MATCH(Lists!$B$4,$A$1:$AB$1,0))&amp;""),"")))</f>
        <v/>
      </c>
      <c r="AU215" s="31">
        <f>IF(AR215="","",IFERROR(TRIM(INDEX($A215:$AB215,MATCH(Lists!$B$7,$A$1:$AB$1,0))&amp;""),""))</f>
        <v/>
      </c>
      <c r="AV215" s="31">
        <f>IF(AR215="","",IFERROR(TRIM(INDEX($A215:$AB215,MATCH(Lists!$B$9,$A$1:$AB$1,0))&amp;""),""))</f>
        <v/>
      </c>
      <c r="AW215" s="31">
        <f>IF(AR215="","",IFERROR(TRIM(INDEX($A215:$AB215,MATCH(Lists!$B$8,$A$1:$AB$1,0))&amp;""),""))</f>
        <v/>
      </c>
      <c r="AX215" s="23">
        <f>IF(AR215="","",IF(OR(TRIM(AE215&amp;"")&lt;&gt;"",AND(Skills!$B$5&lt;&gt;"",ISNUMBER(SEARCH(Skills!$B$5,AU215)))),1,0))</f>
        <v/>
      </c>
      <c r="AY215" s="23">
        <f>IF(AR215="","",IF(OR(TRIM(AF215&amp;"")&lt;&gt;"",AND(Skills!$B$6&lt;&gt;"",ISNUMBER(SEARCH(Skills!$B$6,AU215)))),1,0))</f>
        <v/>
      </c>
      <c r="AZ215" s="23">
        <f>IF(AR215="","",IF(OR(TRIM(AG215&amp;"")&lt;&gt;"",AND(Skills!$B$7&lt;&gt;"",ISNUMBER(SEARCH(Skills!$B$7,AU215)))),1,0))</f>
        <v/>
      </c>
      <c r="BA215" s="23">
        <f>IF(AR215="","",IF(OR(TRIM(AH215&amp;"")&lt;&gt;"",AND(Skills!$B$8&lt;&gt;"",ISNUMBER(SEARCH(Skills!$B$8,AU215)))),1,0))</f>
        <v/>
      </c>
      <c r="BB215" s="23">
        <f>IF(AR215="","",IF(OR(TRIM(AI215&amp;"")&lt;&gt;"",AND(Skills!$B$9&lt;&gt;"",ISNUMBER(SEARCH(Skills!$B$9,AU215)))),1,0))</f>
        <v/>
      </c>
      <c r="BC215" s="23">
        <f>IF(AR215="","",IF(OR(TRIM(AJ215&amp;"")&lt;&gt;"",AND(Skills!$B$10&lt;&gt;"",ISNUMBER(SEARCH(Skills!$B$10,AU215)))),1,0))</f>
        <v/>
      </c>
      <c r="BD215" s="23">
        <f>IF(AR215="","",IF(OR(TRIM(AK215&amp;"")&lt;&gt;"",AND(Skills!$B$11&lt;&gt;"",ISNUMBER(SEARCH(Skills!$B$11,AU215)))),1,0))</f>
        <v/>
      </c>
      <c r="BE215" s="23">
        <f>IF(AR215="","",IF(OR(TRIM(AL215&amp;"")&lt;&gt;"",AND(Skills!$B$12&lt;&gt;"",ISNUMBER(SEARCH(Skills!$B$12,AU215)))),1,0))</f>
        <v/>
      </c>
      <c r="BF215" s="23">
        <f>IF(AR215="","",IF(OR(TRIM(AM215&amp;"")&lt;&gt;"",AND(Skills!$B$13&lt;&gt;"",ISNUMBER(SEARCH(Skills!$B$13,AU215)))),1,0))</f>
        <v/>
      </c>
      <c r="BG215" s="23">
        <f>IF(AR215="","",IF(OR(TRIM(AN215&amp;"")&lt;&gt;"",AND(Skills!$B$14&lt;&gt;"",ISNUMBER(SEARCH(Skills!$B$14,AU215)))),1,0))</f>
        <v/>
      </c>
      <c r="BH215" s="23">
        <f>IF(AR215="","",IF(OR(TRIM(AO215&amp;"")&lt;&gt;"",AND(Skills!$B$15&lt;&gt;"",ISNUMBER(SEARCH(Skills!$B$15,AU215)))),1,0))</f>
        <v/>
      </c>
      <c r="BI215" s="23">
        <f>IF(AR215="","",IF(OR(TRIM(AP215&amp;"")&lt;&gt;"",AND(Skills!$B$16&lt;&gt;"",ISNUMBER(SEARCH(Skills!$B$16,AU215)))),1,0))</f>
        <v/>
      </c>
      <c r="BJ215" s="23">
        <f>IF(AR215="","",SUMPRODUCT($AX215:$BI215,Skills!$B$20:$M$20))</f>
        <v/>
      </c>
      <c r="BK215" s="23">
        <f>IF(AR215="","",BJ215*100000+(100000-ROW()))</f>
        <v/>
      </c>
      <c r="BL215" s="31">
        <f>IF(AR215="","",IF((IF(AND(AX215=1,Skills!$B$20=1),Skills!$B$5&amp;", ","")&amp;IF(AND(AY215=1,Skills!$C$20=1),Skills!$B$6&amp;", ","")&amp;IF(AND(AZ215=1,Skills!$D$20=1),Skills!$B$7&amp;", ","")&amp;IF(AND(BA215=1,Skills!$E$20=1),Skills!$B$8&amp;", ","")&amp;IF(AND(BB215=1,Skills!$F$20=1),Skills!$B$9&amp;", ","")&amp;IF(AND(BC215=1,Skills!$G$20=1),Skills!$B$10&amp;", ","")&amp;IF(AND(BD215=1,Skills!$H$20=1),Skills!$B$11&amp;", ","")&amp;IF(AND(BE215=1,Skills!$I$20=1),Skills!$B$12&amp;", ","")&amp;IF(AND(BF215=1,Skills!$J$20=1),Skills!$B$13&amp;", ","")&amp;IF(AND(BG215=1,Skills!$K$20=1),Skills!$B$14&amp;", ","")&amp;IF(AND(BH215=1,Skills!$L$20=1),Skills!$B$15&amp;", ","")&amp;IF(AND(BI215=1,Skills!$M$20=1),Skills!$B$16&amp;", ",""))="","",LEFT(IF(AND(AX215=1,Skills!$B$20=1),Skills!$B$5&amp;", ","")&amp;IF(AND(AY215=1,Skills!$C$20=1),Skills!$B$6&amp;", ","")&amp;IF(AND(AZ215=1,Skills!$D$20=1),Skills!$B$7&amp;", ","")&amp;IF(AND(BA215=1,Skills!$E$20=1),Skills!$B$8&amp;", ","")&amp;IF(AND(BB215=1,Skills!$F$20=1),Skills!$B$9&amp;", ","")&amp;IF(AND(BC215=1,Skills!$G$20=1),Skills!$B$10&amp;", ","")&amp;IF(AND(BD215=1,Skills!$H$20=1),Skills!$B$11&amp;", ","")&amp;IF(AND(BE215=1,Skills!$I$20=1),Skills!$B$12&amp;", ","")&amp;IF(AND(BF215=1,Skills!$J$20=1),Skills!$B$13&amp;", ","")&amp;IF(AND(BG215=1,Skills!$K$20=1),Skills!$B$14&amp;", ","")&amp;IF(AND(BH215=1,Skills!$L$20=1),Skills!$B$15&amp;", ","")&amp;IF(AND(BI215=1,Skills!$M$20=1),Skills!$B$16&amp;", ",""),LEN(IF(AND(AX215=1,Skills!$B$20=1),Skills!$B$5&amp;", ","")&amp;IF(AND(AY215=1,Skills!$C$20=1),Skills!$B$6&amp;", ","")&amp;IF(AND(AZ215=1,Skills!$D$20=1),Skills!$B$7&amp;", ","")&amp;IF(AND(BA215=1,Skills!$E$20=1),Skills!$B$8&amp;", ","")&amp;IF(AND(BB215=1,Skills!$F$20=1),Skills!$B$9&amp;", ","")&amp;IF(AND(BC215=1,Skills!$G$20=1),Skills!$B$10&amp;", ","")&amp;IF(AND(BD215=1,Skills!$H$20=1),Skills!$B$11&amp;", ","")&amp;IF(AND(BE215=1,Skills!$I$20=1),Skills!$B$12&amp;", ","")&amp;IF(AND(BF215=1,Skills!$J$20=1),Skills!$B$13&amp;", ","")&amp;IF(AND(BG215=1,Skills!$K$20=1),Skills!$B$14&amp;", ","")&amp;IF(AND(BH215=1,Skills!$L$20=1),Skills!$B$15&amp;", ","")&amp;IF(AND(BI215=1,Skills!$M$20=1),Skills!$B$16&amp;", ",""))-2)))</f>
        <v/>
      </c>
    </row>
    <row r="216">
      <c r="AD216" s="20" t="n"/>
      <c r="AE216" s="20" t="n"/>
      <c r="AF216" s="20" t="n"/>
      <c r="AG216" s="20" t="n"/>
      <c r="AH216" s="20" t="n"/>
      <c r="AI216" s="20" t="n"/>
      <c r="AJ216" s="20" t="n"/>
      <c r="AK216" s="20" t="n"/>
      <c r="AL216" s="20" t="n"/>
      <c r="AM216" s="20" t="n"/>
      <c r="AN216" s="20" t="n"/>
      <c r="AO216" s="20" t="n"/>
      <c r="AP216" s="20" t="n"/>
      <c r="AR216" s="31">
        <f>IF(IFERROR(TRIM(INDEX($A216:$AB216,MATCH(Lists!$B$5,$A$1:$AB$1,0))&amp;""),"")&lt;&gt;"",IFERROR(TRIM(INDEX($A216:$AB216,MATCH(Lists!$B$5,$A$1:$AB$1,0))&amp;""),""),IFERROR(TRIM(INDEX($A216:$AB216,MATCH(Lists!$B$3,$A$1:$AB$1,0))&amp;""),""))</f>
        <v/>
      </c>
      <c r="AS216" s="31">
        <f>IF(AR216="","",IF(IFERROR(TRIM(INDEX($A216:$AB216,MATCH(Lists!$B$5,$A$1:$AB$1,0))&amp;""),"")&lt;&gt;"","Nominated","Applied"))</f>
        <v/>
      </c>
      <c r="AT216" s="31">
        <f>IF(AR216="","",IF(IFERROR(TRIM(INDEX($A216:$AB216,MATCH(Lists!$B$5,$A$1:$AB$1,0))&amp;""),"")&lt;&gt;"",IFERROR(TRIM(INDEX($A216:$AB216,MATCH(Lists!$B$6,$A$1:$AB$1,0))&amp;""),""),IFERROR(TRIM(INDEX($A216:$AB216,MATCH(Lists!$B$4,$A$1:$AB$1,0))&amp;""),"")))</f>
        <v/>
      </c>
      <c r="AU216" s="31">
        <f>IF(AR216="","",IFERROR(TRIM(INDEX($A216:$AB216,MATCH(Lists!$B$7,$A$1:$AB$1,0))&amp;""),""))</f>
        <v/>
      </c>
      <c r="AV216" s="31">
        <f>IF(AR216="","",IFERROR(TRIM(INDEX($A216:$AB216,MATCH(Lists!$B$9,$A$1:$AB$1,0))&amp;""),""))</f>
        <v/>
      </c>
      <c r="AW216" s="31">
        <f>IF(AR216="","",IFERROR(TRIM(INDEX($A216:$AB216,MATCH(Lists!$B$8,$A$1:$AB$1,0))&amp;""),""))</f>
        <v/>
      </c>
      <c r="AX216" s="23">
        <f>IF(AR216="","",IF(OR(TRIM(AE216&amp;"")&lt;&gt;"",AND(Skills!$B$5&lt;&gt;"",ISNUMBER(SEARCH(Skills!$B$5,AU216)))),1,0))</f>
        <v/>
      </c>
      <c r="AY216" s="23">
        <f>IF(AR216="","",IF(OR(TRIM(AF216&amp;"")&lt;&gt;"",AND(Skills!$B$6&lt;&gt;"",ISNUMBER(SEARCH(Skills!$B$6,AU216)))),1,0))</f>
        <v/>
      </c>
      <c r="AZ216" s="23">
        <f>IF(AR216="","",IF(OR(TRIM(AG216&amp;"")&lt;&gt;"",AND(Skills!$B$7&lt;&gt;"",ISNUMBER(SEARCH(Skills!$B$7,AU216)))),1,0))</f>
        <v/>
      </c>
      <c r="BA216" s="23">
        <f>IF(AR216="","",IF(OR(TRIM(AH216&amp;"")&lt;&gt;"",AND(Skills!$B$8&lt;&gt;"",ISNUMBER(SEARCH(Skills!$B$8,AU216)))),1,0))</f>
        <v/>
      </c>
      <c r="BB216" s="23">
        <f>IF(AR216="","",IF(OR(TRIM(AI216&amp;"")&lt;&gt;"",AND(Skills!$B$9&lt;&gt;"",ISNUMBER(SEARCH(Skills!$B$9,AU216)))),1,0))</f>
        <v/>
      </c>
      <c r="BC216" s="23">
        <f>IF(AR216="","",IF(OR(TRIM(AJ216&amp;"")&lt;&gt;"",AND(Skills!$B$10&lt;&gt;"",ISNUMBER(SEARCH(Skills!$B$10,AU216)))),1,0))</f>
        <v/>
      </c>
      <c r="BD216" s="23">
        <f>IF(AR216="","",IF(OR(TRIM(AK216&amp;"")&lt;&gt;"",AND(Skills!$B$11&lt;&gt;"",ISNUMBER(SEARCH(Skills!$B$11,AU216)))),1,0))</f>
        <v/>
      </c>
      <c r="BE216" s="23">
        <f>IF(AR216="","",IF(OR(TRIM(AL216&amp;"")&lt;&gt;"",AND(Skills!$B$12&lt;&gt;"",ISNUMBER(SEARCH(Skills!$B$12,AU216)))),1,0))</f>
        <v/>
      </c>
      <c r="BF216" s="23">
        <f>IF(AR216="","",IF(OR(TRIM(AM216&amp;"")&lt;&gt;"",AND(Skills!$B$13&lt;&gt;"",ISNUMBER(SEARCH(Skills!$B$13,AU216)))),1,0))</f>
        <v/>
      </c>
      <c r="BG216" s="23">
        <f>IF(AR216="","",IF(OR(TRIM(AN216&amp;"")&lt;&gt;"",AND(Skills!$B$14&lt;&gt;"",ISNUMBER(SEARCH(Skills!$B$14,AU216)))),1,0))</f>
        <v/>
      </c>
      <c r="BH216" s="23">
        <f>IF(AR216="","",IF(OR(TRIM(AO216&amp;"")&lt;&gt;"",AND(Skills!$B$15&lt;&gt;"",ISNUMBER(SEARCH(Skills!$B$15,AU216)))),1,0))</f>
        <v/>
      </c>
      <c r="BI216" s="23">
        <f>IF(AR216="","",IF(OR(TRIM(AP216&amp;"")&lt;&gt;"",AND(Skills!$B$16&lt;&gt;"",ISNUMBER(SEARCH(Skills!$B$16,AU216)))),1,0))</f>
        <v/>
      </c>
      <c r="BJ216" s="23">
        <f>IF(AR216="","",SUMPRODUCT($AX216:$BI216,Skills!$B$20:$M$20))</f>
        <v/>
      </c>
      <c r="BK216" s="23">
        <f>IF(AR216="","",BJ216*100000+(100000-ROW()))</f>
        <v/>
      </c>
      <c r="BL216" s="31">
        <f>IF(AR216="","",IF((IF(AND(AX216=1,Skills!$B$20=1),Skills!$B$5&amp;", ","")&amp;IF(AND(AY216=1,Skills!$C$20=1),Skills!$B$6&amp;", ","")&amp;IF(AND(AZ216=1,Skills!$D$20=1),Skills!$B$7&amp;", ","")&amp;IF(AND(BA216=1,Skills!$E$20=1),Skills!$B$8&amp;", ","")&amp;IF(AND(BB216=1,Skills!$F$20=1),Skills!$B$9&amp;", ","")&amp;IF(AND(BC216=1,Skills!$G$20=1),Skills!$B$10&amp;", ","")&amp;IF(AND(BD216=1,Skills!$H$20=1),Skills!$B$11&amp;", ","")&amp;IF(AND(BE216=1,Skills!$I$20=1),Skills!$B$12&amp;", ","")&amp;IF(AND(BF216=1,Skills!$J$20=1),Skills!$B$13&amp;", ","")&amp;IF(AND(BG216=1,Skills!$K$20=1),Skills!$B$14&amp;", ","")&amp;IF(AND(BH216=1,Skills!$L$20=1),Skills!$B$15&amp;", ","")&amp;IF(AND(BI216=1,Skills!$M$20=1),Skills!$B$16&amp;", ",""))="","",LEFT(IF(AND(AX216=1,Skills!$B$20=1),Skills!$B$5&amp;", ","")&amp;IF(AND(AY216=1,Skills!$C$20=1),Skills!$B$6&amp;", ","")&amp;IF(AND(AZ216=1,Skills!$D$20=1),Skills!$B$7&amp;", ","")&amp;IF(AND(BA216=1,Skills!$E$20=1),Skills!$B$8&amp;", ","")&amp;IF(AND(BB216=1,Skills!$F$20=1),Skills!$B$9&amp;", ","")&amp;IF(AND(BC216=1,Skills!$G$20=1),Skills!$B$10&amp;", ","")&amp;IF(AND(BD216=1,Skills!$H$20=1),Skills!$B$11&amp;", ","")&amp;IF(AND(BE216=1,Skills!$I$20=1),Skills!$B$12&amp;", ","")&amp;IF(AND(BF216=1,Skills!$J$20=1),Skills!$B$13&amp;", ","")&amp;IF(AND(BG216=1,Skills!$K$20=1),Skills!$B$14&amp;", ","")&amp;IF(AND(BH216=1,Skills!$L$20=1),Skills!$B$15&amp;", ","")&amp;IF(AND(BI216=1,Skills!$M$20=1),Skills!$B$16&amp;", ",""),LEN(IF(AND(AX216=1,Skills!$B$20=1),Skills!$B$5&amp;", ","")&amp;IF(AND(AY216=1,Skills!$C$20=1),Skills!$B$6&amp;", ","")&amp;IF(AND(AZ216=1,Skills!$D$20=1),Skills!$B$7&amp;", ","")&amp;IF(AND(BA216=1,Skills!$E$20=1),Skills!$B$8&amp;", ","")&amp;IF(AND(BB216=1,Skills!$F$20=1),Skills!$B$9&amp;", ","")&amp;IF(AND(BC216=1,Skills!$G$20=1),Skills!$B$10&amp;", ","")&amp;IF(AND(BD216=1,Skills!$H$20=1),Skills!$B$11&amp;", ","")&amp;IF(AND(BE216=1,Skills!$I$20=1),Skills!$B$12&amp;", ","")&amp;IF(AND(BF216=1,Skills!$J$20=1),Skills!$B$13&amp;", ","")&amp;IF(AND(BG216=1,Skills!$K$20=1),Skills!$B$14&amp;", ","")&amp;IF(AND(BH216=1,Skills!$L$20=1),Skills!$B$15&amp;", ","")&amp;IF(AND(BI216=1,Skills!$M$20=1),Skills!$B$16&amp;", ",""))-2)))</f>
        <v/>
      </c>
    </row>
    <row r="217">
      <c r="AD217" s="20" t="n"/>
      <c r="AE217" s="20" t="n"/>
      <c r="AF217" s="20" t="n"/>
      <c r="AG217" s="20" t="n"/>
      <c r="AH217" s="20" t="n"/>
      <c r="AI217" s="20" t="n"/>
      <c r="AJ217" s="20" t="n"/>
      <c r="AK217" s="20" t="n"/>
      <c r="AL217" s="20" t="n"/>
      <c r="AM217" s="20" t="n"/>
      <c r="AN217" s="20" t="n"/>
      <c r="AO217" s="20" t="n"/>
      <c r="AP217" s="20" t="n"/>
      <c r="AR217" s="31">
        <f>IF(IFERROR(TRIM(INDEX($A217:$AB217,MATCH(Lists!$B$5,$A$1:$AB$1,0))&amp;""),"")&lt;&gt;"",IFERROR(TRIM(INDEX($A217:$AB217,MATCH(Lists!$B$5,$A$1:$AB$1,0))&amp;""),""),IFERROR(TRIM(INDEX($A217:$AB217,MATCH(Lists!$B$3,$A$1:$AB$1,0))&amp;""),""))</f>
        <v/>
      </c>
      <c r="AS217" s="31">
        <f>IF(AR217="","",IF(IFERROR(TRIM(INDEX($A217:$AB217,MATCH(Lists!$B$5,$A$1:$AB$1,0))&amp;""),"")&lt;&gt;"","Nominated","Applied"))</f>
        <v/>
      </c>
      <c r="AT217" s="31">
        <f>IF(AR217="","",IF(IFERROR(TRIM(INDEX($A217:$AB217,MATCH(Lists!$B$5,$A$1:$AB$1,0))&amp;""),"")&lt;&gt;"",IFERROR(TRIM(INDEX($A217:$AB217,MATCH(Lists!$B$6,$A$1:$AB$1,0))&amp;""),""),IFERROR(TRIM(INDEX($A217:$AB217,MATCH(Lists!$B$4,$A$1:$AB$1,0))&amp;""),"")))</f>
        <v/>
      </c>
      <c r="AU217" s="31">
        <f>IF(AR217="","",IFERROR(TRIM(INDEX($A217:$AB217,MATCH(Lists!$B$7,$A$1:$AB$1,0))&amp;""),""))</f>
        <v/>
      </c>
      <c r="AV217" s="31">
        <f>IF(AR217="","",IFERROR(TRIM(INDEX($A217:$AB217,MATCH(Lists!$B$9,$A$1:$AB$1,0))&amp;""),""))</f>
        <v/>
      </c>
      <c r="AW217" s="31">
        <f>IF(AR217="","",IFERROR(TRIM(INDEX($A217:$AB217,MATCH(Lists!$B$8,$A$1:$AB$1,0))&amp;""),""))</f>
        <v/>
      </c>
      <c r="AX217" s="23">
        <f>IF(AR217="","",IF(OR(TRIM(AE217&amp;"")&lt;&gt;"",AND(Skills!$B$5&lt;&gt;"",ISNUMBER(SEARCH(Skills!$B$5,AU217)))),1,0))</f>
        <v/>
      </c>
      <c r="AY217" s="23">
        <f>IF(AR217="","",IF(OR(TRIM(AF217&amp;"")&lt;&gt;"",AND(Skills!$B$6&lt;&gt;"",ISNUMBER(SEARCH(Skills!$B$6,AU217)))),1,0))</f>
        <v/>
      </c>
      <c r="AZ217" s="23">
        <f>IF(AR217="","",IF(OR(TRIM(AG217&amp;"")&lt;&gt;"",AND(Skills!$B$7&lt;&gt;"",ISNUMBER(SEARCH(Skills!$B$7,AU217)))),1,0))</f>
        <v/>
      </c>
      <c r="BA217" s="23">
        <f>IF(AR217="","",IF(OR(TRIM(AH217&amp;"")&lt;&gt;"",AND(Skills!$B$8&lt;&gt;"",ISNUMBER(SEARCH(Skills!$B$8,AU217)))),1,0))</f>
        <v/>
      </c>
      <c r="BB217" s="23">
        <f>IF(AR217="","",IF(OR(TRIM(AI217&amp;"")&lt;&gt;"",AND(Skills!$B$9&lt;&gt;"",ISNUMBER(SEARCH(Skills!$B$9,AU217)))),1,0))</f>
        <v/>
      </c>
      <c r="BC217" s="23">
        <f>IF(AR217="","",IF(OR(TRIM(AJ217&amp;"")&lt;&gt;"",AND(Skills!$B$10&lt;&gt;"",ISNUMBER(SEARCH(Skills!$B$10,AU217)))),1,0))</f>
        <v/>
      </c>
      <c r="BD217" s="23">
        <f>IF(AR217="","",IF(OR(TRIM(AK217&amp;"")&lt;&gt;"",AND(Skills!$B$11&lt;&gt;"",ISNUMBER(SEARCH(Skills!$B$11,AU217)))),1,0))</f>
        <v/>
      </c>
      <c r="BE217" s="23">
        <f>IF(AR217="","",IF(OR(TRIM(AL217&amp;"")&lt;&gt;"",AND(Skills!$B$12&lt;&gt;"",ISNUMBER(SEARCH(Skills!$B$12,AU217)))),1,0))</f>
        <v/>
      </c>
      <c r="BF217" s="23">
        <f>IF(AR217="","",IF(OR(TRIM(AM217&amp;"")&lt;&gt;"",AND(Skills!$B$13&lt;&gt;"",ISNUMBER(SEARCH(Skills!$B$13,AU217)))),1,0))</f>
        <v/>
      </c>
      <c r="BG217" s="23">
        <f>IF(AR217="","",IF(OR(TRIM(AN217&amp;"")&lt;&gt;"",AND(Skills!$B$14&lt;&gt;"",ISNUMBER(SEARCH(Skills!$B$14,AU217)))),1,0))</f>
        <v/>
      </c>
      <c r="BH217" s="23">
        <f>IF(AR217="","",IF(OR(TRIM(AO217&amp;"")&lt;&gt;"",AND(Skills!$B$15&lt;&gt;"",ISNUMBER(SEARCH(Skills!$B$15,AU217)))),1,0))</f>
        <v/>
      </c>
      <c r="BI217" s="23">
        <f>IF(AR217="","",IF(OR(TRIM(AP217&amp;"")&lt;&gt;"",AND(Skills!$B$16&lt;&gt;"",ISNUMBER(SEARCH(Skills!$B$16,AU217)))),1,0))</f>
        <v/>
      </c>
      <c r="BJ217" s="23">
        <f>IF(AR217="","",SUMPRODUCT($AX217:$BI217,Skills!$B$20:$M$20))</f>
        <v/>
      </c>
      <c r="BK217" s="23">
        <f>IF(AR217="","",BJ217*100000+(100000-ROW()))</f>
        <v/>
      </c>
      <c r="BL217" s="31">
        <f>IF(AR217="","",IF((IF(AND(AX217=1,Skills!$B$20=1),Skills!$B$5&amp;", ","")&amp;IF(AND(AY217=1,Skills!$C$20=1),Skills!$B$6&amp;", ","")&amp;IF(AND(AZ217=1,Skills!$D$20=1),Skills!$B$7&amp;", ","")&amp;IF(AND(BA217=1,Skills!$E$20=1),Skills!$B$8&amp;", ","")&amp;IF(AND(BB217=1,Skills!$F$20=1),Skills!$B$9&amp;", ","")&amp;IF(AND(BC217=1,Skills!$G$20=1),Skills!$B$10&amp;", ","")&amp;IF(AND(BD217=1,Skills!$H$20=1),Skills!$B$11&amp;", ","")&amp;IF(AND(BE217=1,Skills!$I$20=1),Skills!$B$12&amp;", ","")&amp;IF(AND(BF217=1,Skills!$J$20=1),Skills!$B$13&amp;", ","")&amp;IF(AND(BG217=1,Skills!$K$20=1),Skills!$B$14&amp;", ","")&amp;IF(AND(BH217=1,Skills!$L$20=1),Skills!$B$15&amp;", ","")&amp;IF(AND(BI217=1,Skills!$M$20=1),Skills!$B$16&amp;", ",""))="","",LEFT(IF(AND(AX217=1,Skills!$B$20=1),Skills!$B$5&amp;", ","")&amp;IF(AND(AY217=1,Skills!$C$20=1),Skills!$B$6&amp;", ","")&amp;IF(AND(AZ217=1,Skills!$D$20=1),Skills!$B$7&amp;", ","")&amp;IF(AND(BA217=1,Skills!$E$20=1),Skills!$B$8&amp;", ","")&amp;IF(AND(BB217=1,Skills!$F$20=1),Skills!$B$9&amp;", ","")&amp;IF(AND(BC217=1,Skills!$G$20=1),Skills!$B$10&amp;", ","")&amp;IF(AND(BD217=1,Skills!$H$20=1),Skills!$B$11&amp;", ","")&amp;IF(AND(BE217=1,Skills!$I$20=1),Skills!$B$12&amp;", ","")&amp;IF(AND(BF217=1,Skills!$J$20=1),Skills!$B$13&amp;", ","")&amp;IF(AND(BG217=1,Skills!$K$20=1),Skills!$B$14&amp;", ","")&amp;IF(AND(BH217=1,Skills!$L$20=1),Skills!$B$15&amp;", ","")&amp;IF(AND(BI217=1,Skills!$M$20=1),Skills!$B$16&amp;", ",""),LEN(IF(AND(AX217=1,Skills!$B$20=1),Skills!$B$5&amp;", ","")&amp;IF(AND(AY217=1,Skills!$C$20=1),Skills!$B$6&amp;", ","")&amp;IF(AND(AZ217=1,Skills!$D$20=1),Skills!$B$7&amp;", ","")&amp;IF(AND(BA217=1,Skills!$E$20=1),Skills!$B$8&amp;", ","")&amp;IF(AND(BB217=1,Skills!$F$20=1),Skills!$B$9&amp;", ","")&amp;IF(AND(BC217=1,Skills!$G$20=1),Skills!$B$10&amp;", ","")&amp;IF(AND(BD217=1,Skills!$H$20=1),Skills!$B$11&amp;", ","")&amp;IF(AND(BE217=1,Skills!$I$20=1),Skills!$B$12&amp;", ","")&amp;IF(AND(BF217=1,Skills!$J$20=1),Skills!$B$13&amp;", ","")&amp;IF(AND(BG217=1,Skills!$K$20=1),Skills!$B$14&amp;", ","")&amp;IF(AND(BH217=1,Skills!$L$20=1),Skills!$B$15&amp;", ","")&amp;IF(AND(BI217=1,Skills!$M$20=1),Skills!$B$16&amp;", ",""))-2)))</f>
        <v/>
      </c>
    </row>
    <row r="218">
      <c r="AD218" s="20" t="n"/>
      <c r="AE218" s="20" t="n"/>
      <c r="AF218" s="20" t="n"/>
      <c r="AG218" s="20" t="n"/>
      <c r="AH218" s="20" t="n"/>
      <c r="AI218" s="20" t="n"/>
      <c r="AJ218" s="20" t="n"/>
      <c r="AK218" s="20" t="n"/>
      <c r="AL218" s="20" t="n"/>
      <c r="AM218" s="20" t="n"/>
      <c r="AN218" s="20" t="n"/>
      <c r="AO218" s="20" t="n"/>
      <c r="AP218" s="20" t="n"/>
      <c r="AR218" s="31">
        <f>IF(IFERROR(TRIM(INDEX($A218:$AB218,MATCH(Lists!$B$5,$A$1:$AB$1,0))&amp;""),"")&lt;&gt;"",IFERROR(TRIM(INDEX($A218:$AB218,MATCH(Lists!$B$5,$A$1:$AB$1,0))&amp;""),""),IFERROR(TRIM(INDEX($A218:$AB218,MATCH(Lists!$B$3,$A$1:$AB$1,0))&amp;""),""))</f>
        <v/>
      </c>
      <c r="AS218" s="31">
        <f>IF(AR218="","",IF(IFERROR(TRIM(INDEX($A218:$AB218,MATCH(Lists!$B$5,$A$1:$AB$1,0))&amp;""),"")&lt;&gt;"","Nominated","Applied"))</f>
        <v/>
      </c>
      <c r="AT218" s="31">
        <f>IF(AR218="","",IF(IFERROR(TRIM(INDEX($A218:$AB218,MATCH(Lists!$B$5,$A$1:$AB$1,0))&amp;""),"")&lt;&gt;"",IFERROR(TRIM(INDEX($A218:$AB218,MATCH(Lists!$B$6,$A$1:$AB$1,0))&amp;""),""),IFERROR(TRIM(INDEX($A218:$AB218,MATCH(Lists!$B$4,$A$1:$AB$1,0))&amp;""),"")))</f>
        <v/>
      </c>
      <c r="AU218" s="31">
        <f>IF(AR218="","",IFERROR(TRIM(INDEX($A218:$AB218,MATCH(Lists!$B$7,$A$1:$AB$1,0))&amp;""),""))</f>
        <v/>
      </c>
      <c r="AV218" s="31">
        <f>IF(AR218="","",IFERROR(TRIM(INDEX($A218:$AB218,MATCH(Lists!$B$9,$A$1:$AB$1,0))&amp;""),""))</f>
        <v/>
      </c>
      <c r="AW218" s="31">
        <f>IF(AR218="","",IFERROR(TRIM(INDEX($A218:$AB218,MATCH(Lists!$B$8,$A$1:$AB$1,0))&amp;""),""))</f>
        <v/>
      </c>
      <c r="AX218" s="23">
        <f>IF(AR218="","",IF(OR(TRIM(AE218&amp;"")&lt;&gt;"",AND(Skills!$B$5&lt;&gt;"",ISNUMBER(SEARCH(Skills!$B$5,AU218)))),1,0))</f>
        <v/>
      </c>
      <c r="AY218" s="23">
        <f>IF(AR218="","",IF(OR(TRIM(AF218&amp;"")&lt;&gt;"",AND(Skills!$B$6&lt;&gt;"",ISNUMBER(SEARCH(Skills!$B$6,AU218)))),1,0))</f>
        <v/>
      </c>
      <c r="AZ218" s="23">
        <f>IF(AR218="","",IF(OR(TRIM(AG218&amp;"")&lt;&gt;"",AND(Skills!$B$7&lt;&gt;"",ISNUMBER(SEARCH(Skills!$B$7,AU218)))),1,0))</f>
        <v/>
      </c>
      <c r="BA218" s="23">
        <f>IF(AR218="","",IF(OR(TRIM(AH218&amp;"")&lt;&gt;"",AND(Skills!$B$8&lt;&gt;"",ISNUMBER(SEARCH(Skills!$B$8,AU218)))),1,0))</f>
        <v/>
      </c>
      <c r="BB218" s="23">
        <f>IF(AR218="","",IF(OR(TRIM(AI218&amp;"")&lt;&gt;"",AND(Skills!$B$9&lt;&gt;"",ISNUMBER(SEARCH(Skills!$B$9,AU218)))),1,0))</f>
        <v/>
      </c>
      <c r="BC218" s="23">
        <f>IF(AR218="","",IF(OR(TRIM(AJ218&amp;"")&lt;&gt;"",AND(Skills!$B$10&lt;&gt;"",ISNUMBER(SEARCH(Skills!$B$10,AU218)))),1,0))</f>
        <v/>
      </c>
      <c r="BD218" s="23">
        <f>IF(AR218="","",IF(OR(TRIM(AK218&amp;"")&lt;&gt;"",AND(Skills!$B$11&lt;&gt;"",ISNUMBER(SEARCH(Skills!$B$11,AU218)))),1,0))</f>
        <v/>
      </c>
      <c r="BE218" s="23">
        <f>IF(AR218="","",IF(OR(TRIM(AL218&amp;"")&lt;&gt;"",AND(Skills!$B$12&lt;&gt;"",ISNUMBER(SEARCH(Skills!$B$12,AU218)))),1,0))</f>
        <v/>
      </c>
      <c r="BF218" s="23">
        <f>IF(AR218="","",IF(OR(TRIM(AM218&amp;"")&lt;&gt;"",AND(Skills!$B$13&lt;&gt;"",ISNUMBER(SEARCH(Skills!$B$13,AU218)))),1,0))</f>
        <v/>
      </c>
      <c r="BG218" s="23">
        <f>IF(AR218="","",IF(OR(TRIM(AN218&amp;"")&lt;&gt;"",AND(Skills!$B$14&lt;&gt;"",ISNUMBER(SEARCH(Skills!$B$14,AU218)))),1,0))</f>
        <v/>
      </c>
      <c r="BH218" s="23">
        <f>IF(AR218="","",IF(OR(TRIM(AO218&amp;"")&lt;&gt;"",AND(Skills!$B$15&lt;&gt;"",ISNUMBER(SEARCH(Skills!$B$15,AU218)))),1,0))</f>
        <v/>
      </c>
      <c r="BI218" s="23">
        <f>IF(AR218="","",IF(OR(TRIM(AP218&amp;"")&lt;&gt;"",AND(Skills!$B$16&lt;&gt;"",ISNUMBER(SEARCH(Skills!$B$16,AU218)))),1,0))</f>
        <v/>
      </c>
      <c r="BJ218" s="23">
        <f>IF(AR218="","",SUMPRODUCT($AX218:$BI218,Skills!$B$20:$M$20))</f>
        <v/>
      </c>
      <c r="BK218" s="23">
        <f>IF(AR218="","",BJ218*100000+(100000-ROW()))</f>
        <v/>
      </c>
      <c r="BL218" s="31">
        <f>IF(AR218="","",IF((IF(AND(AX218=1,Skills!$B$20=1),Skills!$B$5&amp;", ","")&amp;IF(AND(AY218=1,Skills!$C$20=1),Skills!$B$6&amp;", ","")&amp;IF(AND(AZ218=1,Skills!$D$20=1),Skills!$B$7&amp;", ","")&amp;IF(AND(BA218=1,Skills!$E$20=1),Skills!$B$8&amp;", ","")&amp;IF(AND(BB218=1,Skills!$F$20=1),Skills!$B$9&amp;", ","")&amp;IF(AND(BC218=1,Skills!$G$20=1),Skills!$B$10&amp;", ","")&amp;IF(AND(BD218=1,Skills!$H$20=1),Skills!$B$11&amp;", ","")&amp;IF(AND(BE218=1,Skills!$I$20=1),Skills!$B$12&amp;", ","")&amp;IF(AND(BF218=1,Skills!$J$20=1),Skills!$B$13&amp;", ","")&amp;IF(AND(BG218=1,Skills!$K$20=1),Skills!$B$14&amp;", ","")&amp;IF(AND(BH218=1,Skills!$L$20=1),Skills!$B$15&amp;", ","")&amp;IF(AND(BI218=1,Skills!$M$20=1),Skills!$B$16&amp;", ",""))="","",LEFT(IF(AND(AX218=1,Skills!$B$20=1),Skills!$B$5&amp;", ","")&amp;IF(AND(AY218=1,Skills!$C$20=1),Skills!$B$6&amp;", ","")&amp;IF(AND(AZ218=1,Skills!$D$20=1),Skills!$B$7&amp;", ","")&amp;IF(AND(BA218=1,Skills!$E$20=1),Skills!$B$8&amp;", ","")&amp;IF(AND(BB218=1,Skills!$F$20=1),Skills!$B$9&amp;", ","")&amp;IF(AND(BC218=1,Skills!$G$20=1),Skills!$B$10&amp;", ","")&amp;IF(AND(BD218=1,Skills!$H$20=1),Skills!$B$11&amp;", ","")&amp;IF(AND(BE218=1,Skills!$I$20=1),Skills!$B$12&amp;", ","")&amp;IF(AND(BF218=1,Skills!$J$20=1),Skills!$B$13&amp;", ","")&amp;IF(AND(BG218=1,Skills!$K$20=1),Skills!$B$14&amp;", ","")&amp;IF(AND(BH218=1,Skills!$L$20=1),Skills!$B$15&amp;", ","")&amp;IF(AND(BI218=1,Skills!$M$20=1),Skills!$B$16&amp;", ",""),LEN(IF(AND(AX218=1,Skills!$B$20=1),Skills!$B$5&amp;", ","")&amp;IF(AND(AY218=1,Skills!$C$20=1),Skills!$B$6&amp;", ","")&amp;IF(AND(AZ218=1,Skills!$D$20=1),Skills!$B$7&amp;", ","")&amp;IF(AND(BA218=1,Skills!$E$20=1),Skills!$B$8&amp;", ","")&amp;IF(AND(BB218=1,Skills!$F$20=1),Skills!$B$9&amp;", ","")&amp;IF(AND(BC218=1,Skills!$G$20=1),Skills!$B$10&amp;", ","")&amp;IF(AND(BD218=1,Skills!$H$20=1),Skills!$B$11&amp;", ","")&amp;IF(AND(BE218=1,Skills!$I$20=1),Skills!$B$12&amp;", ","")&amp;IF(AND(BF218=1,Skills!$J$20=1),Skills!$B$13&amp;", ","")&amp;IF(AND(BG218=1,Skills!$K$20=1),Skills!$B$14&amp;", ","")&amp;IF(AND(BH218=1,Skills!$L$20=1),Skills!$B$15&amp;", ","")&amp;IF(AND(BI218=1,Skills!$M$20=1),Skills!$B$16&amp;", ",""))-2)))</f>
        <v/>
      </c>
    </row>
    <row r="219">
      <c r="AD219" s="20" t="n"/>
      <c r="AE219" s="20" t="n"/>
      <c r="AF219" s="20" t="n"/>
      <c r="AG219" s="20" t="n"/>
      <c r="AH219" s="20" t="n"/>
      <c r="AI219" s="20" t="n"/>
      <c r="AJ219" s="20" t="n"/>
      <c r="AK219" s="20" t="n"/>
      <c r="AL219" s="20" t="n"/>
      <c r="AM219" s="20" t="n"/>
      <c r="AN219" s="20" t="n"/>
      <c r="AO219" s="20" t="n"/>
      <c r="AP219" s="20" t="n"/>
      <c r="AR219" s="31">
        <f>IF(IFERROR(TRIM(INDEX($A219:$AB219,MATCH(Lists!$B$5,$A$1:$AB$1,0))&amp;""),"")&lt;&gt;"",IFERROR(TRIM(INDEX($A219:$AB219,MATCH(Lists!$B$5,$A$1:$AB$1,0))&amp;""),""),IFERROR(TRIM(INDEX($A219:$AB219,MATCH(Lists!$B$3,$A$1:$AB$1,0))&amp;""),""))</f>
        <v/>
      </c>
      <c r="AS219" s="31">
        <f>IF(AR219="","",IF(IFERROR(TRIM(INDEX($A219:$AB219,MATCH(Lists!$B$5,$A$1:$AB$1,0))&amp;""),"")&lt;&gt;"","Nominated","Applied"))</f>
        <v/>
      </c>
      <c r="AT219" s="31">
        <f>IF(AR219="","",IF(IFERROR(TRIM(INDEX($A219:$AB219,MATCH(Lists!$B$5,$A$1:$AB$1,0))&amp;""),"")&lt;&gt;"",IFERROR(TRIM(INDEX($A219:$AB219,MATCH(Lists!$B$6,$A$1:$AB$1,0))&amp;""),""),IFERROR(TRIM(INDEX($A219:$AB219,MATCH(Lists!$B$4,$A$1:$AB$1,0))&amp;""),"")))</f>
        <v/>
      </c>
      <c r="AU219" s="31">
        <f>IF(AR219="","",IFERROR(TRIM(INDEX($A219:$AB219,MATCH(Lists!$B$7,$A$1:$AB$1,0))&amp;""),""))</f>
        <v/>
      </c>
      <c r="AV219" s="31">
        <f>IF(AR219="","",IFERROR(TRIM(INDEX($A219:$AB219,MATCH(Lists!$B$9,$A$1:$AB$1,0))&amp;""),""))</f>
        <v/>
      </c>
      <c r="AW219" s="31">
        <f>IF(AR219="","",IFERROR(TRIM(INDEX($A219:$AB219,MATCH(Lists!$B$8,$A$1:$AB$1,0))&amp;""),""))</f>
        <v/>
      </c>
      <c r="AX219" s="23">
        <f>IF(AR219="","",IF(OR(TRIM(AE219&amp;"")&lt;&gt;"",AND(Skills!$B$5&lt;&gt;"",ISNUMBER(SEARCH(Skills!$B$5,AU219)))),1,0))</f>
        <v/>
      </c>
      <c r="AY219" s="23">
        <f>IF(AR219="","",IF(OR(TRIM(AF219&amp;"")&lt;&gt;"",AND(Skills!$B$6&lt;&gt;"",ISNUMBER(SEARCH(Skills!$B$6,AU219)))),1,0))</f>
        <v/>
      </c>
      <c r="AZ219" s="23">
        <f>IF(AR219="","",IF(OR(TRIM(AG219&amp;"")&lt;&gt;"",AND(Skills!$B$7&lt;&gt;"",ISNUMBER(SEARCH(Skills!$B$7,AU219)))),1,0))</f>
        <v/>
      </c>
      <c r="BA219" s="23">
        <f>IF(AR219="","",IF(OR(TRIM(AH219&amp;"")&lt;&gt;"",AND(Skills!$B$8&lt;&gt;"",ISNUMBER(SEARCH(Skills!$B$8,AU219)))),1,0))</f>
        <v/>
      </c>
      <c r="BB219" s="23">
        <f>IF(AR219="","",IF(OR(TRIM(AI219&amp;"")&lt;&gt;"",AND(Skills!$B$9&lt;&gt;"",ISNUMBER(SEARCH(Skills!$B$9,AU219)))),1,0))</f>
        <v/>
      </c>
      <c r="BC219" s="23">
        <f>IF(AR219="","",IF(OR(TRIM(AJ219&amp;"")&lt;&gt;"",AND(Skills!$B$10&lt;&gt;"",ISNUMBER(SEARCH(Skills!$B$10,AU219)))),1,0))</f>
        <v/>
      </c>
      <c r="BD219" s="23">
        <f>IF(AR219="","",IF(OR(TRIM(AK219&amp;"")&lt;&gt;"",AND(Skills!$B$11&lt;&gt;"",ISNUMBER(SEARCH(Skills!$B$11,AU219)))),1,0))</f>
        <v/>
      </c>
      <c r="BE219" s="23">
        <f>IF(AR219="","",IF(OR(TRIM(AL219&amp;"")&lt;&gt;"",AND(Skills!$B$12&lt;&gt;"",ISNUMBER(SEARCH(Skills!$B$12,AU219)))),1,0))</f>
        <v/>
      </c>
      <c r="BF219" s="23">
        <f>IF(AR219="","",IF(OR(TRIM(AM219&amp;"")&lt;&gt;"",AND(Skills!$B$13&lt;&gt;"",ISNUMBER(SEARCH(Skills!$B$13,AU219)))),1,0))</f>
        <v/>
      </c>
      <c r="BG219" s="23">
        <f>IF(AR219="","",IF(OR(TRIM(AN219&amp;"")&lt;&gt;"",AND(Skills!$B$14&lt;&gt;"",ISNUMBER(SEARCH(Skills!$B$14,AU219)))),1,0))</f>
        <v/>
      </c>
      <c r="BH219" s="23">
        <f>IF(AR219="","",IF(OR(TRIM(AO219&amp;"")&lt;&gt;"",AND(Skills!$B$15&lt;&gt;"",ISNUMBER(SEARCH(Skills!$B$15,AU219)))),1,0))</f>
        <v/>
      </c>
      <c r="BI219" s="23">
        <f>IF(AR219="","",IF(OR(TRIM(AP219&amp;"")&lt;&gt;"",AND(Skills!$B$16&lt;&gt;"",ISNUMBER(SEARCH(Skills!$B$16,AU219)))),1,0))</f>
        <v/>
      </c>
      <c r="BJ219" s="23">
        <f>IF(AR219="","",SUMPRODUCT($AX219:$BI219,Skills!$B$20:$M$20))</f>
        <v/>
      </c>
      <c r="BK219" s="23">
        <f>IF(AR219="","",BJ219*100000+(100000-ROW()))</f>
        <v/>
      </c>
      <c r="BL219" s="31">
        <f>IF(AR219="","",IF((IF(AND(AX219=1,Skills!$B$20=1),Skills!$B$5&amp;", ","")&amp;IF(AND(AY219=1,Skills!$C$20=1),Skills!$B$6&amp;", ","")&amp;IF(AND(AZ219=1,Skills!$D$20=1),Skills!$B$7&amp;", ","")&amp;IF(AND(BA219=1,Skills!$E$20=1),Skills!$B$8&amp;", ","")&amp;IF(AND(BB219=1,Skills!$F$20=1),Skills!$B$9&amp;", ","")&amp;IF(AND(BC219=1,Skills!$G$20=1),Skills!$B$10&amp;", ","")&amp;IF(AND(BD219=1,Skills!$H$20=1),Skills!$B$11&amp;", ","")&amp;IF(AND(BE219=1,Skills!$I$20=1),Skills!$B$12&amp;", ","")&amp;IF(AND(BF219=1,Skills!$J$20=1),Skills!$B$13&amp;", ","")&amp;IF(AND(BG219=1,Skills!$K$20=1),Skills!$B$14&amp;", ","")&amp;IF(AND(BH219=1,Skills!$L$20=1),Skills!$B$15&amp;", ","")&amp;IF(AND(BI219=1,Skills!$M$20=1),Skills!$B$16&amp;", ",""))="","",LEFT(IF(AND(AX219=1,Skills!$B$20=1),Skills!$B$5&amp;", ","")&amp;IF(AND(AY219=1,Skills!$C$20=1),Skills!$B$6&amp;", ","")&amp;IF(AND(AZ219=1,Skills!$D$20=1),Skills!$B$7&amp;", ","")&amp;IF(AND(BA219=1,Skills!$E$20=1),Skills!$B$8&amp;", ","")&amp;IF(AND(BB219=1,Skills!$F$20=1),Skills!$B$9&amp;", ","")&amp;IF(AND(BC219=1,Skills!$G$20=1),Skills!$B$10&amp;", ","")&amp;IF(AND(BD219=1,Skills!$H$20=1),Skills!$B$11&amp;", ","")&amp;IF(AND(BE219=1,Skills!$I$20=1),Skills!$B$12&amp;", ","")&amp;IF(AND(BF219=1,Skills!$J$20=1),Skills!$B$13&amp;", ","")&amp;IF(AND(BG219=1,Skills!$K$20=1),Skills!$B$14&amp;", ","")&amp;IF(AND(BH219=1,Skills!$L$20=1),Skills!$B$15&amp;", ","")&amp;IF(AND(BI219=1,Skills!$M$20=1),Skills!$B$16&amp;", ",""),LEN(IF(AND(AX219=1,Skills!$B$20=1),Skills!$B$5&amp;", ","")&amp;IF(AND(AY219=1,Skills!$C$20=1),Skills!$B$6&amp;", ","")&amp;IF(AND(AZ219=1,Skills!$D$20=1),Skills!$B$7&amp;", ","")&amp;IF(AND(BA219=1,Skills!$E$20=1),Skills!$B$8&amp;", ","")&amp;IF(AND(BB219=1,Skills!$F$20=1),Skills!$B$9&amp;", ","")&amp;IF(AND(BC219=1,Skills!$G$20=1),Skills!$B$10&amp;", ","")&amp;IF(AND(BD219=1,Skills!$H$20=1),Skills!$B$11&amp;", ","")&amp;IF(AND(BE219=1,Skills!$I$20=1),Skills!$B$12&amp;", ","")&amp;IF(AND(BF219=1,Skills!$J$20=1),Skills!$B$13&amp;", ","")&amp;IF(AND(BG219=1,Skills!$K$20=1),Skills!$B$14&amp;", ","")&amp;IF(AND(BH219=1,Skills!$L$20=1),Skills!$B$15&amp;", ","")&amp;IF(AND(BI219=1,Skills!$M$20=1),Skills!$B$16&amp;", ",""))-2)))</f>
        <v/>
      </c>
    </row>
    <row r="220">
      <c r="AD220" s="20" t="n"/>
      <c r="AE220" s="20" t="n"/>
      <c r="AF220" s="20" t="n"/>
      <c r="AG220" s="20" t="n"/>
      <c r="AH220" s="20" t="n"/>
      <c r="AI220" s="20" t="n"/>
      <c r="AJ220" s="20" t="n"/>
      <c r="AK220" s="20" t="n"/>
      <c r="AL220" s="20" t="n"/>
      <c r="AM220" s="20" t="n"/>
      <c r="AN220" s="20" t="n"/>
      <c r="AO220" s="20" t="n"/>
      <c r="AP220" s="20" t="n"/>
      <c r="AR220" s="31">
        <f>IF(IFERROR(TRIM(INDEX($A220:$AB220,MATCH(Lists!$B$5,$A$1:$AB$1,0))&amp;""),"")&lt;&gt;"",IFERROR(TRIM(INDEX($A220:$AB220,MATCH(Lists!$B$5,$A$1:$AB$1,0))&amp;""),""),IFERROR(TRIM(INDEX($A220:$AB220,MATCH(Lists!$B$3,$A$1:$AB$1,0))&amp;""),""))</f>
        <v/>
      </c>
      <c r="AS220" s="31">
        <f>IF(AR220="","",IF(IFERROR(TRIM(INDEX($A220:$AB220,MATCH(Lists!$B$5,$A$1:$AB$1,0))&amp;""),"")&lt;&gt;"","Nominated","Applied"))</f>
        <v/>
      </c>
      <c r="AT220" s="31">
        <f>IF(AR220="","",IF(IFERROR(TRIM(INDEX($A220:$AB220,MATCH(Lists!$B$5,$A$1:$AB$1,0))&amp;""),"")&lt;&gt;"",IFERROR(TRIM(INDEX($A220:$AB220,MATCH(Lists!$B$6,$A$1:$AB$1,0))&amp;""),""),IFERROR(TRIM(INDEX($A220:$AB220,MATCH(Lists!$B$4,$A$1:$AB$1,0))&amp;""),"")))</f>
        <v/>
      </c>
      <c r="AU220" s="31">
        <f>IF(AR220="","",IFERROR(TRIM(INDEX($A220:$AB220,MATCH(Lists!$B$7,$A$1:$AB$1,0))&amp;""),""))</f>
        <v/>
      </c>
      <c r="AV220" s="31">
        <f>IF(AR220="","",IFERROR(TRIM(INDEX($A220:$AB220,MATCH(Lists!$B$9,$A$1:$AB$1,0))&amp;""),""))</f>
        <v/>
      </c>
      <c r="AW220" s="31">
        <f>IF(AR220="","",IFERROR(TRIM(INDEX($A220:$AB220,MATCH(Lists!$B$8,$A$1:$AB$1,0))&amp;""),""))</f>
        <v/>
      </c>
      <c r="AX220" s="23">
        <f>IF(AR220="","",IF(OR(TRIM(AE220&amp;"")&lt;&gt;"",AND(Skills!$B$5&lt;&gt;"",ISNUMBER(SEARCH(Skills!$B$5,AU220)))),1,0))</f>
        <v/>
      </c>
      <c r="AY220" s="23">
        <f>IF(AR220="","",IF(OR(TRIM(AF220&amp;"")&lt;&gt;"",AND(Skills!$B$6&lt;&gt;"",ISNUMBER(SEARCH(Skills!$B$6,AU220)))),1,0))</f>
        <v/>
      </c>
      <c r="AZ220" s="23">
        <f>IF(AR220="","",IF(OR(TRIM(AG220&amp;"")&lt;&gt;"",AND(Skills!$B$7&lt;&gt;"",ISNUMBER(SEARCH(Skills!$B$7,AU220)))),1,0))</f>
        <v/>
      </c>
      <c r="BA220" s="23">
        <f>IF(AR220="","",IF(OR(TRIM(AH220&amp;"")&lt;&gt;"",AND(Skills!$B$8&lt;&gt;"",ISNUMBER(SEARCH(Skills!$B$8,AU220)))),1,0))</f>
        <v/>
      </c>
      <c r="BB220" s="23">
        <f>IF(AR220="","",IF(OR(TRIM(AI220&amp;"")&lt;&gt;"",AND(Skills!$B$9&lt;&gt;"",ISNUMBER(SEARCH(Skills!$B$9,AU220)))),1,0))</f>
        <v/>
      </c>
      <c r="BC220" s="23">
        <f>IF(AR220="","",IF(OR(TRIM(AJ220&amp;"")&lt;&gt;"",AND(Skills!$B$10&lt;&gt;"",ISNUMBER(SEARCH(Skills!$B$10,AU220)))),1,0))</f>
        <v/>
      </c>
      <c r="BD220" s="23">
        <f>IF(AR220="","",IF(OR(TRIM(AK220&amp;"")&lt;&gt;"",AND(Skills!$B$11&lt;&gt;"",ISNUMBER(SEARCH(Skills!$B$11,AU220)))),1,0))</f>
        <v/>
      </c>
      <c r="BE220" s="23">
        <f>IF(AR220="","",IF(OR(TRIM(AL220&amp;"")&lt;&gt;"",AND(Skills!$B$12&lt;&gt;"",ISNUMBER(SEARCH(Skills!$B$12,AU220)))),1,0))</f>
        <v/>
      </c>
      <c r="BF220" s="23">
        <f>IF(AR220="","",IF(OR(TRIM(AM220&amp;"")&lt;&gt;"",AND(Skills!$B$13&lt;&gt;"",ISNUMBER(SEARCH(Skills!$B$13,AU220)))),1,0))</f>
        <v/>
      </c>
      <c r="BG220" s="23">
        <f>IF(AR220="","",IF(OR(TRIM(AN220&amp;"")&lt;&gt;"",AND(Skills!$B$14&lt;&gt;"",ISNUMBER(SEARCH(Skills!$B$14,AU220)))),1,0))</f>
        <v/>
      </c>
      <c r="BH220" s="23">
        <f>IF(AR220="","",IF(OR(TRIM(AO220&amp;"")&lt;&gt;"",AND(Skills!$B$15&lt;&gt;"",ISNUMBER(SEARCH(Skills!$B$15,AU220)))),1,0))</f>
        <v/>
      </c>
      <c r="BI220" s="23">
        <f>IF(AR220="","",IF(OR(TRIM(AP220&amp;"")&lt;&gt;"",AND(Skills!$B$16&lt;&gt;"",ISNUMBER(SEARCH(Skills!$B$16,AU220)))),1,0))</f>
        <v/>
      </c>
      <c r="BJ220" s="23">
        <f>IF(AR220="","",SUMPRODUCT($AX220:$BI220,Skills!$B$20:$M$20))</f>
        <v/>
      </c>
      <c r="BK220" s="23">
        <f>IF(AR220="","",BJ220*100000+(100000-ROW()))</f>
        <v/>
      </c>
      <c r="BL220" s="31">
        <f>IF(AR220="","",IF((IF(AND(AX220=1,Skills!$B$20=1),Skills!$B$5&amp;", ","")&amp;IF(AND(AY220=1,Skills!$C$20=1),Skills!$B$6&amp;", ","")&amp;IF(AND(AZ220=1,Skills!$D$20=1),Skills!$B$7&amp;", ","")&amp;IF(AND(BA220=1,Skills!$E$20=1),Skills!$B$8&amp;", ","")&amp;IF(AND(BB220=1,Skills!$F$20=1),Skills!$B$9&amp;", ","")&amp;IF(AND(BC220=1,Skills!$G$20=1),Skills!$B$10&amp;", ","")&amp;IF(AND(BD220=1,Skills!$H$20=1),Skills!$B$11&amp;", ","")&amp;IF(AND(BE220=1,Skills!$I$20=1),Skills!$B$12&amp;", ","")&amp;IF(AND(BF220=1,Skills!$J$20=1),Skills!$B$13&amp;", ","")&amp;IF(AND(BG220=1,Skills!$K$20=1),Skills!$B$14&amp;", ","")&amp;IF(AND(BH220=1,Skills!$L$20=1),Skills!$B$15&amp;", ","")&amp;IF(AND(BI220=1,Skills!$M$20=1),Skills!$B$16&amp;", ",""))="","",LEFT(IF(AND(AX220=1,Skills!$B$20=1),Skills!$B$5&amp;", ","")&amp;IF(AND(AY220=1,Skills!$C$20=1),Skills!$B$6&amp;", ","")&amp;IF(AND(AZ220=1,Skills!$D$20=1),Skills!$B$7&amp;", ","")&amp;IF(AND(BA220=1,Skills!$E$20=1),Skills!$B$8&amp;", ","")&amp;IF(AND(BB220=1,Skills!$F$20=1),Skills!$B$9&amp;", ","")&amp;IF(AND(BC220=1,Skills!$G$20=1),Skills!$B$10&amp;", ","")&amp;IF(AND(BD220=1,Skills!$H$20=1),Skills!$B$11&amp;", ","")&amp;IF(AND(BE220=1,Skills!$I$20=1),Skills!$B$12&amp;", ","")&amp;IF(AND(BF220=1,Skills!$J$20=1),Skills!$B$13&amp;", ","")&amp;IF(AND(BG220=1,Skills!$K$20=1),Skills!$B$14&amp;", ","")&amp;IF(AND(BH220=1,Skills!$L$20=1),Skills!$B$15&amp;", ","")&amp;IF(AND(BI220=1,Skills!$M$20=1),Skills!$B$16&amp;", ",""),LEN(IF(AND(AX220=1,Skills!$B$20=1),Skills!$B$5&amp;", ","")&amp;IF(AND(AY220=1,Skills!$C$20=1),Skills!$B$6&amp;", ","")&amp;IF(AND(AZ220=1,Skills!$D$20=1),Skills!$B$7&amp;", ","")&amp;IF(AND(BA220=1,Skills!$E$20=1),Skills!$B$8&amp;", ","")&amp;IF(AND(BB220=1,Skills!$F$20=1),Skills!$B$9&amp;", ","")&amp;IF(AND(BC220=1,Skills!$G$20=1),Skills!$B$10&amp;", ","")&amp;IF(AND(BD220=1,Skills!$H$20=1),Skills!$B$11&amp;", ","")&amp;IF(AND(BE220=1,Skills!$I$20=1),Skills!$B$12&amp;", ","")&amp;IF(AND(BF220=1,Skills!$J$20=1),Skills!$B$13&amp;", ","")&amp;IF(AND(BG220=1,Skills!$K$20=1),Skills!$B$14&amp;", ","")&amp;IF(AND(BH220=1,Skills!$L$20=1),Skills!$B$15&amp;", ","")&amp;IF(AND(BI220=1,Skills!$M$20=1),Skills!$B$16&amp;", ",""))-2)))</f>
        <v/>
      </c>
    </row>
    <row r="221">
      <c r="AD221" s="20" t="n"/>
      <c r="AE221" s="20" t="n"/>
      <c r="AF221" s="20" t="n"/>
      <c r="AG221" s="20" t="n"/>
      <c r="AH221" s="20" t="n"/>
      <c r="AI221" s="20" t="n"/>
      <c r="AJ221" s="20" t="n"/>
      <c r="AK221" s="20" t="n"/>
      <c r="AL221" s="20" t="n"/>
      <c r="AM221" s="20" t="n"/>
      <c r="AN221" s="20" t="n"/>
      <c r="AO221" s="20" t="n"/>
      <c r="AP221" s="20" t="n"/>
      <c r="AR221" s="31">
        <f>IF(IFERROR(TRIM(INDEX($A221:$AB221,MATCH(Lists!$B$5,$A$1:$AB$1,0))&amp;""),"")&lt;&gt;"",IFERROR(TRIM(INDEX($A221:$AB221,MATCH(Lists!$B$5,$A$1:$AB$1,0))&amp;""),""),IFERROR(TRIM(INDEX($A221:$AB221,MATCH(Lists!$B$3,$A$1:$AB$1,0))&amp;""),""))</f>
        <v/>
      </c>
      <c r="AS221" s="31">
        <f>IF(AR221="","",IF(IFERROR(TRIM(INDEX($A221:$AB221,MATCH(Lists!$B$5,$A$1:$AB$1,0))&amp;""),"")&lt;&gt;"","Nominated","Applied"))</f>
        <v/>
      </c>
      <c r="AT221" s="31">
        <f>IF(AR221="","",IF(IFERROR(TRIM(INDEX($A221:$AB221,MATCH(Lists!$B$5,$A$1:$AB$1,0))&amp;""),"")&lt;&gt;"",IFERROR(TRIM(INDEX($A221:$AB221,MATCH(Lists!$B$6,$A$1:$AB$1,0))&amp;""),""),IFERROR(TRIM(INDEX($A221:$AB221,MATCH(Lists!$B$4,$A$1:$AB$1,0))&amp;""),"")))</f>
        <v/>
      </c>
      <c r="AU221" s="31">
        <f>IF(AR221="","",IFERROR(TRIM(INDEX($A221:$AB221,MATCH(Lists!$B$7,$A$1:$AB$1,0))&amp;""),""))</f>
        <v/>
      </c>
      <c r="AV221" s="31">
        <f>IF(AR221="","",IFERROR(TRIM(INDEX($A221:$AB221,MATCH(Lists!$B$9,$A$1:$AB$1,0))&amp;""),""))</f>
        <v/>
      </c>
      <c r="AW221" s="31">
        <f>IF(AR221="","",IFERROR(TRIM(INDEX($A221:$AB221,MATCH(Lists!$B$8,$A$1:$AB$1,0))&amp;""),""))</f>
        <v/>
      </c>
      <c r="AX221" s="23">
        <f>IF(AR221="","",IF(OR(TRIM(AE221&amp;"")&lt;&gt;"",AND(Skills!$B$5&lt;&gt;"",ISNUMBER(SEARCH(Skills!$B$5,AU221)))),1,0))</f>
        <v/>
      </c>
      <c r="AY221" s="23">
        <f>IF(AR221="","",IF(OR(TRIM(AF221&amp;"")&lt;&gt;"",AND(Skills!$B$6&lt;&gt;"",ISNUMBER(SEARCH(Skills!$B$6,AU221)))),1,0))</f>
        <v/>
      </c>
      <c r="AZ221" s="23">
        <f>IF(AR221="","",IF(OR(TRIM(AG221&amp;"")&lt;&gt;"",AND(Skills!$B$7&lt;&gt;"",ISNUMBER(SEARCH(Skills!$B$7,AU221)))),1,0))</f>
        <v/>
      </c>
      <c r="BA221" s="23">
        <f>IF(AR221="","",IF(OR(TRIM(AH221&amp;"")&lt;&gt;"",AND(Skills!$B$8&lt;&gt;"",ISNUMBER(SEARCH(Skills!$B$8,AU221)))),1,0))</f>
        <v/>
      </c>
      <c r="BB221" s="23">
        <f>IF(AR221="","",IF(OR(TRIM(AI221&amp;"")&lt;&gt;"",AND(Skills!$B$9&lt;&gt;"",ISNUMBER(SEARCH(Skills!$B$9,AU221)))),1,0))</f>
        <v/>
      </c>
      <c r="BC221" s="23">
        <f>IF(AR221="","",IF(OR(TRIM(AJ221&amp;"")&lt;&gt;"",AND(Skills!$B$10&lt;&gt;"",ISNUMBER(SEARCH(Skills!$B$10,AU221)))),1,0))</f>
        <v/>
      </c>
      <c r="BD221" s="23">
        <f>IF(AR221="","",IF(OR(TRIM(AK221&amp;"")&lt;&gt;"",AND(Skills!$B$11&lt;&gt;"",ISNUMBER(SEARCH(Skills!$B$11,AU221)))),1,0))</f>
        <v/>
      </c>
      <c r="BE221" s="23">
        <f>IF(AR221="","",IF(OR(TRIM(AL221&amp;"")&lt;&gt;"",AND(Skills!$B$12&lt;&gt;"",ISNUMBER(SEARCH(Skills!$B$12,AU221)))),1,0))</f>
        <v/>
      </c>
      <c r="BF221" s="23">
        <f>IF(AR221="","",IF(OR(TRIM(AM221&amp;"")&lt;&gt;"",AND(Skills!$B$13&lt;&gt;"",ISNUMBER(SEARCH(Skills!$B$13,AU221)))),1,0))</f>
        <v/>
      </c>
      <c r="BG221" s="23">
        <f>IF(AR221="","",IF(OR(TRIM(AN221&amp;"")&lt;&gt;"",AND(Skills!$B$14&lt;&gt;"",ISNUMBER(SEARCH(Skills!$B$14,AU221)))),1,0))</f>
        <v/>
      </c>
      <c r="BH221" s="23">
        <f>IF(AR221="","",IF(OR(TRIM(AO221&amp;"")&lt;&gt;"",AND(Skills!$B$15&lt;&gt;"",ISNUMBER(SEARCH(Skills!$B$15,AU221)))),1,0))</f>
        <v/>
      </c>
      <c r="BI221" s="23">
        <f>IF(AR221="","",IF(OR(TRIM(AP221&amp;"")&lt;&gt;"",AND(Skills!$B$16&lt;&gt;"",ISNUMBER(SEARCH(Skills!$B$16,AU221)))),1,0))</f>
        <v/>
      </c>
      <c r="BJ221" s="23">
        <f>IF(AR221="","",SUMPRODUCT($AX221:$BI221,Skills!$B$20:$M$20))</f>
        <v/>
      </c>
      <c r="BK221" s="23">
        <f>IF(AR221="","",BJ221*100000+(100000-ROW()))</f>
        <v/>
      </c>
      <c r="BL221" s="31">
        <f>IF(AR221="","",IF((IF(AND(AX221=1,Skills!$B$20=1),Skills!$B$5&amp;", ","")&amp;IF(AND(AY221=1,Skills!$C$20=1),Skills!$B$6&amp;", ","")&amp;IF(AND(AZ221=1,Skills!$D$20=1),Skills!$B$7&amp;", ","")&amp;IF(AND(BA221=1,Skills!$E$20=1),Skills!$B$8&amp;", ","")&amp;IF(AND(BB221=1,Skills!$F$20=1),Skills!$B$9&amp;", ","")&amp;IF(AND(BC221=1,Skills!$G$20=1),Skills!$B$10&amp;", ","")&amp;IF(AND(BD221=1,Skills!$H$20=1),Skills!$B$11&amp;", ","")&amp;IF(AND(BE221=1,Skills!$I$20=1),Skills!$B$12&amp;", ","")&amp;IF(AND(BF221=1,Skills!$J$20=1),Skills!$B$13&amp;", ","")&amp;IF(AND(BG221=1,Skills!$K$20=1),Skills!$B$14&amp;", ","")&amp;IF(AND(BH221=1,Skills!$L$20=1),Skills!$B$15&amp;", ","")&amp;IF(AND(BI221=1,Skills!$M$20=1),Skills!$B$16&amp;", ",""))="","",LEFT(IF(AND(AX221=1,Skills!$B$20=1),Skills!$B$5&amp;", ","")&amp;IF(AND(AY221=1,Skills!$C$20=1),Skills!$B$6&amp;", ","")&amp;IF(AND(AZ221=1,Skills!$D$20=1),Skills!$B$7&amp;", ","")&amp;IF(AND(BA221=1,Skills!$E$20=1),Skills!$B$8&amp;", ","")&amp;IF(AND(BB221=1,Skills!$F$20=1),Skills!$B$9&amp;", ","")&amp;IF(AND(BC221=1,Skills!$G$20=1),Skills!$B$10&amp;", ","")&amp;IF(AND(BD221=1,Skills!$H$20=1),Skills!$B$11&amp;", ","")&amp;IF(AND(BE221=1,Skills!$I$20=1),Skills!$B$12&amp;", ","")&amp;IF(AND(BF221=1,Skills!$J$20=1),Skills!$B$13&amp;", ","")&amp;IF(AND(BG221=1,Skills!$K$20=1),Skills!$B$14&amp;", ","")&amp;IF(AND(BH221=1,Skills!$L$20=1),Skills!$B$15&amp;", ","")&amp;IF(AND(BI221=1,Skills!$M$20=1),Skills!$B$16&amp;", ",""),LEN(IF(AND(AX221=1,Skills!$B$20=1),Skills!$B$5&amp;", ","")&amp;IF(AND(AY221=1,Skills!$C$20=1),Skills!$B$6&amp;", ","")&amp;IF(AND(AZ221=1,Skills!$D$20=1),Skills!$B$7&amp;", ","")&amp;IF(AND(BA221=1,Skills!$E$20=1),Skills!$B$8&amp;", ","")&amp;IF(AND(BB221=1,Skills!$F$20=1),Skills!$B$9&amp;", ","")&amp;IF(AND(BC221=1,Skills!$G$20=1),Skills!$B$10&amp;", ","")&amp;IF(AND(BD221=1,Skills!$H$20=1),Skills!$B$11&amp;", ","")&amp;IF(AND(BE221=1,Skills!$I$20=1),Skills!$B$12&amp;", ","")&amp;IF(AND(BF221=1,Skills!$J$20=1),Skills!$B$13&amp;", ","")&amp;IF(AND(BG221=1,Skills!$K$20=1),Skills!$B$14&amp;", ","")&amp;IF(AND(BH221=1,Skills!$L$20=1),Skills!$B$15&amp;", ","")&amp;IF(AND(BI221=1,Skills!$M$20=1),Skills!$B$16&amp;", ",""))-2)))</f>
        <v/>
      </c>
    </row>
    <row r="222">
      <c r="AD222" s="20" t="n"/>
      <c r="AE222" s="20" t="n"/>
      <c r="AF222" s="20" t="n"/>
      <c r="AG222" s="20" t="n"/>
      <c r="AH222" s="20" t="n"/>
      <c r="AI222" s="20" t="n"/>
      <c r="AJ222" s="20" t="n"/>
      <c r="AK222" s="20" t="n"/>
      <c r="AL222" s="20" t="n"/>
      <c r="AM222" s="20" t="n"/>
      <c r="AN222" s="20" t="n"/>
      <c r="AO222" s="20" t="n"/>
      <c r="AP222" s="20" t="n"/>
      <c r="AR222" s="31">
        <f>IF(IFERROR(TRIM(INDEX($A222:$AB222,MATCH(Lists!$B$5,$A$1:$AB$1,0))&amp;""),"")&lt;&gt;"",IFERROR(TRIM(INDEX($A222:$AB222,MATCH(Lists!$B$5,$A$1:$AB$1,0))&amp;""),""),IFERROR(TRIM(INDEX($A222:$AB222,MATCH(Lists!$B$3,$A$1:$AB$1,0))&amp;""),""))</f>
        <v/>
      </c>
      <c r="AS222" s="31">
        <f>IF(AR222="","",IF(IFERROR(TRIM(INDEX($A222:$AB222,MATCH(Lists!$B$5,$A$1:$AB$1,0))&amp;""),"")&lt;&gt;"","Nominated","Applied"))</f>
        <v/>
      </c>
      <c r="AT222" s="31">
        <f>IF(AR222="","",IF(IFERROR(TRIM(INDEX($A222:$AB222,MATCH(Lists!$B$5,$A$1:$AB$1,0))&amp;""),"")&lt;&gt;"",IFERROR(TRIM(INDEX($A222:$AB222,MATCH(Lists!$B$6,$A$1:$AB$1,0))&amp;""),""),IFERROR(TRIM(INDEX($A222:$AB222,MATCH(Lists!$B$4,$A$1:$AB$1,0))&amp;""),"")))</f>
        <v/>
      </c>
      <c r="AU222" s="31">
        <f>IF(AR222="","",IFERROR(TRIM(INDEX($A222:$AB222,MATCH(Lists!$B$7,$A$1:$AB$1,0))&amp;""),""))</f>
        <v/>
      </c>
      <c r="AV222" s="31">
        <f>IF(AR222="","",IFERROR(TRIM(INDEX($A222:$AB222,MATCH(Lists!$B$9,$A$1:$AB$1,0))&amp;""),""))</f>
        <v/>
      </c>
      <c r="AW222" s="31">
        <f>IF(AR222="","",IFERROR(TRIM(INDEX($A222:$AB222,MATCH(Lists!$B$8,$A$1:$AB$1,0))&amp;""),""))</f>
        <v/>
      </c>
      <c r="AX222" s="23">
        <f>IF(AR222="","",IF(OR(TRIM(AE222&amp;"")&lt;&gt;"",AND(Skills!$B$5&lt;&gt;"",ISNUMBER(SEARCH(Skills!$B$5,AU222)))),1,0))</f>
        <v/>
      </c>
      <c r="AY222" s="23">
        <f>IF(AR222="","",IF(OR(TRIM(AF222&amp;"")&lt;&gt;"",AND(Skills!$B$6&lt;&gt;"",ISNUMBER(SEARCH(Skills!$B$6,AU222)))),1,0))</f>
        <v/>
      </c>
      <c r="AZ222" s="23">
        <f>IF(AR222="","",IF(OR(TRIM(AG222&amp;"")&lt;&gt;"",AND(Skills!$B$7&lt;&gt;"",ISNUMBER(SEARCH(Skills!$B$7,AU222)))),1,0))</f>
        <v/>
      </c>
      <c r="BA222" s="23">
        <f>IF(AR222="","",IF(OR(TRIM(AH222&amp;"")&lt;&gt;"",AND(Skills!$B$8&lt;&gt;"",ISNUMBER(SEARCH(Skills!$B$8,AU222)))),1,0))</f>
        <v/>
      </c>
      <c r="BB222" s="23">
        <f>IF(AR222="","",IF(OR(TRIM(AI222&amp;"")&lt;&gt;"",AND(Skills!$B$9&lt;&gt;"",ISNUMBER(SEARCH(Skills!$B$9,AU222)))),1,0))</f>
        <v/>
      </c>
      <c r="BC222" s="23">
        <f>IF(AR222="","",IF(OR(TRIM(AJ222&amp;"")&lt;&gt;"",AND(Skills!$B$10&lt;&gt;"",ISNUMBER(SEARCH(Skills!$B$10,AU222)))),1,0))</f>
        <v/>
      </c>
      <c r="BD222" s="23">
        <f>IF(AR222="","",IF(OR(TRIM(AK222&amp;"")&lt;&gt;"",AND(Skills!$B$11&lt;&gt;"",ISNUMBER(SEARCH(Skills!$B$11,AU222)))),1,0))</f>
        <v/>
      </c>
      <c r="BE222" s="23">
        <f>IF(AR222="","",IF(OR(TRIM(AL222&amp;"")&lt;&gt;"",AND(Skills!$B$12&lt;&gt;"",ISNUMBER(SEARCH(Skills!$B$12,AU222)))),1,0))</f>
        <v/>
      </c>
      <c r="BF222" s="23">
        <f>IF(AR222="","",IF(OR(TRIM(AM222&amp;"")&lt;&gt;"",AND(Skills!$B$13&lt;&gt;"",ISNUMBER(SEARCH(Skills!$B$13,AU222)))),1,0))</f>
        <v/>
      </c>
      <c r="BG222" s="23">
        <f>IF(AR222="","",IF(OR(TRIM(AN222&amp;"")&lt;&gt;"",AND(Skills!$B$14&lt;&gt;"",ISNUMBER(SEARCH(Skills!$B$14,AU222)))),1,0))</f>
        <v/>
      </c>
      <c r="BH222" s="23">
        <f>IF(AR222="","",IF(OR(TRIM(AO222&amp;"")&lt;&gt;"",AND(Skills!$B$15&lt;&gt;"",ISNUMBER(SEARCH(Skills!$B$15,AU222)))),1,0))</f>
        <v/>
      </c>
      <c r="BI222" s="23">
        <f>IF(AR222="","",IF(OR(TRIM(AP222&amp;"")&lt;&gt;"",AND(Skills!$B$16&lt;&gt;"",ISNUMBER(SEARCH(Skills!$B$16,AU222)))),1,0))</f>
        <v/>
      </c>
      <c r="BJ222" s="23">
        <f>IF(AR222="","",SUMPRODUCT($AX222:$BI222,Skills!$B$20:$M$20))</f>
        <v/>
      </c>
      <c r="BK222" s="23">
        <f>IF(AR222="","",BJ222*100000+(100000-ROW()))</f>
        <v/>
      </c>
      <c r="BL222" s="31">
        <f>IF(AR222="","",IF((IF(AND(AX222=1,Skills!$B$20=1),Skills!$B$5&amp;", ","")&amp;IF(AND(AY222=1,Skills!$C$20=1),Skills!$B$6&amp;", ","")&amp;IF(AND(AZ222=1,Skills!$D$20=1),Skills!$B$7&amp;", ","")&amp;IF(AND(BA222=1,Skills!$E$20=1),Skills!$B$8&amp;", ","")&amp;IF(AND(BB222=1,Skills!$F$20=1),Skills!$B$9&amp;", ","")&amp;IF(AND(BC222=1,Skills!$G$20=1),Skills!$B$10&amp;", ","")&amp;IF(AND(BD222=1,Skills!$H$20=1),Skills!$B$11&amp;", ","")&amp;IF(AND(BE222=1,Skills!$I$20=1),Skills!$B$12&amp;", ","")&amp;IF(AND(BF222=1,Skills!$J$20=1),Skills!$B$13&amp;", ","")&amp;IF(AND(BG222=1,Skills!$K$20=1),Skills!$B$14&amp;", ","")&amp;IF(AND(BH222=1,Skills!$L$20=1),Skills!$B$15&amp;", ","")&amp;IF(AND(BI222=1,Skills!$M$20=1),Skills!$B$16&amp;", ",""))="","",LEFT(IF(AND(AX222=1,Skills!$B$20=1),Skills!$B$5&amp;", ","")&amp;IF(AND(AY222=1,Skills!$C$20=1),Skills!$B$6&amp;", ","")&amp;IF(AND(AZ222=1,Skills!$D$20=1),Skills!$B$7&amp;", ","")&amp;IF(AND(BA222=1,Skills!$E$20=1),Skills!$B$8&amp;", ","")&amp;IF(AND(BB222=1,Skills!$F$20=1),Skills!$B$9&amp;", ","")&amp;IF(AND(BC222=1,Skills!$G$20=1),Skills!$B$10&amp;", ","")&amp;IF(AND(BD222=1,Skills!$H$20=1),Skills!$B$11&amp;", ","")&amp;IF(AND(BE222=1,Skills!$I$20=1),Skills!$B$12&amp;", ","")&amp;IF(AND(BF222=1,Skills!$J$20=1),Skills!$B$13&amp;", ","")&amp;IF(AND(BG222=1,Skills!$K$20=1),Skills!$B$14&amp;", ","")&amp;IF(AND(BH222=1,Skills!$L$20=1),Skills!$B$15&amp;", ","")&amp;IF(AND(BI222=1,Skills!$M$20=1),Skills!$B$16&amp;", ",""),LEN(IF(AND(AX222=1,Skills!$B$20=1),Skills!$B$5&amp;", ","")&amp;IF(AND(AY222=1,Skills!$C$20=1),Skills!$B$6&amp;", ","")&amp;IF(AND(AZ222=1,Skills!$D$20=1),Skills!$B$7&amp;", ","")&amp;IF(AND(BA222=1,Skills!$E$20=1),Skills!$B$8&amp;", ","")&amp;IF(AND(BB222=1,Skills!$F$20=1),Skills!$B$9&amp;", ","")&amp;IF(AND(BC222=1,Skills!$G$20=1),Skills!$B$10&amp;", ","")&amp;IF(AND(BD222=1,Skills!$H$20=1),Skills!$B$11&amp;", ","")&amp;IF(AND(BE222=1,Skills!$I$20=1),Skills!$B$12&amp;", ","")&amp;IF(AND(BF222=1,Skills!$J$20=1),Skills!$B$13&amp;", ","")&amp;IF(AND(BG222=1,Skills!$K$20=1),Skills!$B$14&amp;", ","")&amp;IF(AND(BH222=1,Skills!$L$20=1),Skills!$B$15&amp;", ","")&amp;IF(AND(BI222=1,Skills!$M$20=1),Skills!$B$16&amp;", ",""))-2)))</f>
        <v/>
      </c>
    </row>
    <row r="223">
      <c r="AD223" s="20" t="n"/>
      <c r="AE223" s="20" t="n"/>
      <c r="AF223" s="20" t="n"/>
      <c r="AG223" s="20" t="n"/>
      <c r="AH223" s="20" t="n"/>
      <c r="AI223" s="20" t="n"/>
      <c r="AJ223" s="20" t="n"/>
      <c r="AK223" s="20" t="n"/>
      <c r="AL223" s="20" t="n"/>
      <c r="AM223" s="20" t="n"/>
      <c r="AN223" s="20" t="n"/>
      <c r="AO223" s="20" t="n"/>
      <c r="AP223" s="20" t="n"/>
      <c r="AR223" s="31">
        <f>IF(IFERROR(TRIM(INDEX($A223:$AB223,MATCH(Lists!$B$5,$A$1:$AB$1,0))&amp;""),"")&lt;&gt;"",IFERROR(TRIM(INDEX($A223:$AB223,MATCH(Lists!$B$5,$A$1:$AB$1,0))&amp;""),""),IFERROR(TRIM(INDEX($A223:$AB223,MATCH(Lists!$B$3,$A$1:$AB$1,0))&amp;""),""))</f>
        <v/>
      </c>
      <c r="AS223" s="31">
        <f>IF(AR223="","",IF(IFERROR(TRIM(INDEX($A223:$AB223,MATCH(Lists!$B$5,$A$1:$AB$1,0))&amp;""),"")&lt;&gt;"","Nominated","Applied"))</f>
        <v/>
      </c>
      <c r="AT223" s="31">
        <f>IF(AR223="","",IF(IFERROR(TRIM(INDEX($A223:$AB223,MATCH(Lists!$B$5,$A$1:$AB$1,0))&amp;""),"")&lt;&gt;"",IFERROR(TRIM(INDEX($A223:$AB223,MATCH(Lists!$B$6,$A$1:$AB$1,0))&amp;""),""),IFERROR(TRIM(INDEX($A223:$AB223,MATCH(Lists!$B$4,$A$1:$AB$1,0))&amp;""),"")))</f>
        <v/>
      </c>
      <c r="AU223" s="31">
        <f>IF(AR223="","",IFERROR(TRIM(INDEX($A223:$AB223,MATCH(Lists!$B$7,$A$1:$AB$1,0))&amp;""),""))</f>
        <v/>
      </c>
      <c r="AV223" s="31">
        <f>IF(AR223="","",IFERROR(TRIM(INDEX($A223:$AB223,MATCH(Lists!$B$9,$A$1:$AB$1,0))&amp;""),""))</f>
        <v/>
      </c>
      <c r="AW223" s="31">
        <f>IF(AR223="","",IFERROR(TRIM(INDEX($A223:$AB223,MATCH(Lists!$B$8,$A$1:$AB$1,0))&amp;""),""))</f>
        <v/>
      </c>
      <c r="AX223" s="23">
        <f>IF(AR223="","",IF(OR(TRIM(AE223&amp;"")&lt;&gt;"",AND(Skills!$B$5&lt;&gt;"",ISNUMBER(SEARCH(Skills!$B$5,AU223)))),1,0))</f>
        <v/>
      </c>
      <c r="AY223" s="23">
        <f>IF(AR223="","",IF(OR(TRIM(AF223&amp;"")&lt;&gt;"",AND(Skills!$B$6&lt;&gt;"",ISNUMBER(SEARCH(Skills!$B$6,AU223)))),1,0))</f>
        <v/>
      </c>
      <c r="AZ223" s="23">
        <f>IF(AR223="","",IF(OR(TRIM(AG223&amp;"")&lt;&gt;"",AND(Skills!$B$7&lt;&gt;"",ISNUMBER(SEARCH(Skills!$B$7,AU223)))),1,0))</f>
        <v/>
      </c>
      <c r="BA223" s="23">
        <f>IF(AR223="","",IF(OR(TRIM(AH223&amp;"")&lt;&gt;"",AND(Skills!$B$8&lt;&gt;"",ISNUMBER(SEARCH(Skills!$B$8,AU223)))),1,0))</f>
        <v/>
      </c>
      <c r="BB223" s="23">
        <f>IF(AR223="","",IF(OR(TRIM(AI223&amp;"")&lt;&gt;"",AND(Skills!$B$9&lt;&gt;"",ISNUMBER(SEARCH(Skills!$B$9,AU223)))),1,0))</f>
        <v/>
      </c>
      <c r="BC223" s="23">
        <f>IF(AR223="","",IF(OR(TRIM(AJ223&amp;"")&lt;&gt;"",AND(Skills!$B$10&lt;&gt;"",ISNUMBER(SEARCH(Skills!$B$10,AU223)))),1,0))</f>
        <v/>
      </c>
      <c r="BD223" s="23">
        <f>IF(AR223="","",IF(OR(TRIM(AK223&amp;"")&lt;&gt;"",AND(Skills!$B$11&lt;&gt;"",ISNUMBER(SEARCH(Skills!$B$11,AU223)))),1,0))</f>
        <v/>
      </c>
      <c r="BE223" s="23">
        <f>IF(AR223="","",IF(OR(TRIM(AL223&amp;"")&lt;&gt;"",AND(Skills!$B$12&lt;&gt;"",ISNUMBER(SEARCH(Skills!$B$12,AU223)))),1,0))</f>
        <v/>
      </c>
      <c r="BF223" s="23">
        <f>IF(AR223="","",IF(OR(TRIM(AM223&amp;"")&lt;&gt;"",AND(Skills!$B$13&lt;&gt;"",ISNUMBER(SEARCH(Skills!$B$13,AU223)))),1,0))</f>
        <v/>
      </c>
      <c r="BG223" s="23">
        <f>IF(AR223="","",IF(OR(TRIM(AN223&amp;"")&lt;&gt;"",AND(Skills!$B$14&lt;&gt;"",ISNUMBER(SEARCH(Skills!$B$14,AU223)))),1,0))</f>
        <v/>
      </c>
      <c r="BH223" s="23">
        <f>IF(AR223="","",IF(OR(TRIM(AO223&amp;"")&lt;&gt;"",AND(Skills!$B$15&lt;&gt;"",ISNUMBER(SEARCH(Skills!$B$15,AU223)))),1,0))</f>
        <v/>
      </c>
      <c r="BI223" s="23">
        <f>IF(AR223="","",IF(OR(TRIM(AP223&amp;"")&lt;&gt;"",AND(Skills!$B$16&lt;&gt;"",ISNUMBER(SEARCH(Skills!$B$16,AU223)))),1,0))</f>
        <v/>
      </c>
      <c r="BJ223" s="23">
        <f>IF(AR223="","",SUMPRODUCT($AX223:$BI223,Skills!$B$20:$M$20))</f>
        <v/>
      </c>
      <c r="BK223" s="23">
        <f>IF(AR223="","",BJ223*100000+(100000-ROW()))</f>
        <v/>
      </c>
      <c r="BL223" s="31">
        <f>IF(AR223="","",IF((IF(AND(AX223=1,Skills!$B$20=1),Skills!$B$5&amp;", ","")&amp;IF(AND(AY223=1,Skills!$C$20=1),Skills!$B$6&amp;", ","")&amp;IF(AND(AZ223=1,Skills!$D$20=1),Skills!$B$7&amp;", ","")&amp;IF(AND(BA223=1,Skills!$E$20=1),Skills!$B$8&amp;", ","")&amp;IF(AND(BB223=1,Skills!$F$20=1),Skills!$B$9&amp;", ","")&amp;IF(AND(BC223=1,Skills!$G$20=1),Skills!$B$10&amp;", ","")&amp;IF(AND(BD223=1,Skills!$H$20=1),Skills!$B$11&amp;", ","")&amp;IF(AND(BE223=1,Skills!$I$20=1),Skills!$B$12&amp;", ","")&amp;IF(AND(BF223=1,Skills!$J$20=1),Skills!$B$13&amp;", ","")&amp;IF(AND(BG223=1,Skills!$K$20=1),Skills!$B$14&amp;", ","")&amp;IF(AND(BH223=1,Skills!$L$20=1),Skills!$B$15&amp;", ","")&amp;IF(AND(BI223=1,Skills!$M$20=1),Skills!$B$16&amp;", ",""))="","",LEFT(IF(AND(AX223=1,Skills!$B$20=1),Skills!$B$5&amp;", ","")&amp;IF(AND(AY223=1,Skills!$C$20=1),Skills!$B$6&amp;", ","")&amp;IF(AND(AZ223=1,Skills!$D$20=1),Skills!$B$7&amp;", ","")&amp;IF(AND(BA223=1,Skills!$E$20=1),Skills!$B$8&amp;", ","")&amp;IF(AND(BB223=1,Skills!$F$20=1),Skills!$B$9&amp;", ","")&amp;IF(AND(BC223=1,Skills!$G$20=1),Skills!$B$10&amp;", ","")&amp;IF(AND(BD223=1,Skills!$H$20=1),Skills!$B$11&amp;", ","")&amp;IF(AND(BE223=1,Skills!$I$20=1),Skills!$B$12&amp;", ","")&amp;IF(AND(BF223=1,Skills!$J$20=1),Skills!$B$13&amp;", ","")&amp;IF(AND(BG223=1,Skills!$K$20=1),Skills!$B$14&amp;", ","")&amp;IF(AND(BH223=1,Skills!$L$20=1),Skills!$B$15&amp;", ","")&amp;IF(AND(BI223=1,Skills!$M$20=1),Skills!$B$16&amp;", ",""),LEN(IF(AND(AX223=1,Skills!$B$20=1),Skills!$B$5&amp;", ","")&amp;IF(AND(AY223=1,Skills!$C$20=1),Skills!$B$6&amp;", ","")&amp;IF(AND(AZ223=1,Skills!$D$20=1),Skills!$B$7&amp;", ","")&amp;IF(AND(BA223=1,Skills!$E$20=1),Skills!$B$8&amp;", ","")&amp;IF(AND(BB223=1,Skills!$F$20=1),Skills!$B$9&amp;", ","")&amp;IF(AND(BC223=1,Skills!$G$20=1),Skills!$B$10&amp;", ","")&amp;IF(AND(BD223=1,Skills!$H$20=1),Skills!$B$11&amp;", ","")&amp;IF(AND(BE223=1,Skills!$I$20=1),Skills!$B$12&amp;", ","")&amp;IF(AND(BF223=1,Skills!$J$20=1),Skills!$B$13&amp;", ","")&amp;IF(AND(BG223=1,Skills!$K$20=1),Skills!$B$14&amp;", ","")&amp;IF(AND(BH223=1,Skills!$L$20=1),Skills!$B$15&amp;", ","")&amp;IF(AND(BI223=1,Skills!$M$20=1),Skills!$B$16&amp;", ",""))-2)))</f>
        <v/>
      </c>
    </row>
    <row r="224">
      <c r="AD224" s="20" t="n"/>
      <c r="AE224" s="20" t="n"/>
      <c r="AF224" s="20" t="n"/>
      <c r="AG224" s="20" t="n"/>
      <c r="AH224" s="20" t="n"/>
      <c r="AI224" s="20" t="n"/>
      <c r="AJ224" s="20" t="n"/>
      <c r="AK224" s="20" t="n"/>
      <c r="AL224" s="20" t="n"/>
      <c r="AM224" s="20" t="n"/>
      <c r="AN224" s="20" t="n"/>
      <c r="AO224" s="20" t="n"/>
      <c r="AP224" s="20" t="n"/>
      <c r="AR224" s="31">
        <f>IF(IFERROR(TRIM(INDEX($A224:$AB224,MATCH(Lists!$B$5,$A$1:$AB$1,0))&amp;""),"")&lt;&gt;"",IFERROR(TRIM(INDEX($A224:$AB224,MATCH(Lists!$B$5,$A$1:$AB$1,0))&amp;""),""),IFERROR(TRIM(INDEX($A224:$AB224,MATCH(Lists!$B$3,$A$1:$AB$1,0))&amp;""),""))</f>
        <v/>
      </c>
      <c r="AS224" s="31">
        <f>IF(AR224="","",IF(IFERROR(TRIM(INDEX($A224:$AB224,MATCH(Lists!$B$5,$A$1:$AB$1,0))&amp;""),"")&lt;&gt;"","Nominated","Applied"))</f>
        <v/>
      </c>
      <c r="AT224" s="31">
        <f>IF(AR224="","",IF(IFERROR(TRIM(INDEX($A224:$AB224,MATCH(Lists!$B$5,$A$1:$AB$1,0))&amp;""),"")&lt;&gt;"",IFERROR(TRIM(INDEX($A224:$AB224,MATCH(Lists!$B$6,$A$1:$AB$1,0))&amp;""),""),IFERROR(TRIM(INDEX($A224:$AB224,MATCH(Lists!$B$4,$A$1:$AB$1,0))&amp;""),"")))</f>
        <v/>
      </c>
      <c r="AU224" s="31">
        <f>IF(AR224="","",IFERROR(TRIM(INDEX($A224:$AB224,MATCH(Lists!$B$7,$A$1:$AB$1,0))&amp;""),""))</f>
        <v/>
      </c>
      <c r="AV224" s="31">
        <f>IF(AR224="","",IFERROR(TRIM(INDEX($A224:$AB224,MATCH(Lists!$B$9,$A$1:$AB$1,0))&amp;""),""))</f>
        <v/>
      </c>
      <c r="AW224" s="31">
        <f>IF(AR224="","",IFERROR(TRIM(INDEX($A224:$AB224,MATCH(Lists!$B$8,$A$1:$AB$1,0))&amp;""),""))</f>
        <v/>
      </c>
      <c r="AX224" s="23">
        <f>IF(AR224="","",IF(OR(TRIM(AE224&amp;"")&lt;&gt;"",AND(Skills!$B$5&lt;&gt;"",ISNUMBER(SEARCH(Skills!$B$5,AU224)))),1,0))</f>
        <v/>
      </c>
      <c r="AY224" s="23">
        <f>IF(AR224="","",IF(OR(TRIM(AF224&amp;"")&lt;&gt;"",AND(Skills!$B$6&lt;&gt;"",ISNUMBER(SEARCH(Skills!$B$6,AU224)))),1,0))</f>
        <v/>
      </c>
      <c r="AZ224" s="23">
        <f>IF(AR224="","",IF(OR(TRIM(AG224&amp;"")&lt;&gt;"",AND(Skills!$B$7&lt;&gt;"",ISNUMBER(SEARCH(Skills!$B$7,AU224)))),1,0))</f>
        <v/>
      </c>
      <c r="BA224" s="23">
        <f>IF(AR224="","",IF(OR(TRIM(AH224&amp;"")&lt;&gt;"",AND(Skills!$B$8&lt;&gt;"",ISNUMBER(SEARCH(Skills!$B$8,AU224)))),1,0))</f>
        <v/>
      </c>
      <c r="BB224" s="23">
        <f>IF(AR224="","",IF(OR(TRIM(AI224&amp;"")&lt;&gt;"",AND(Skills!$B$9&lt;&gt;"",ISNUMBER(SEARCH(Skills!$B$9,AU224)))),1,0))</f>
        <v/>
      </c>
      <c r="BC224" s="23">
        <f>IF(AR224="","",IF(OR(TRIM(AJ224&amp;"")&lt;&gt;"",AND(Skills!$B$10&lt;&gt;"",ISNUMBER(SEARCH(Skills!$B$10,AU224)))),1,0))</f>
        <v/>
      </c>
      <c r="BD224" s="23">
        <f>IF(AR224="","",IF(OR(TRIM(AK224&amp;"")&lt;&gt;"",AND(Skills!$B$11&lt;&gt;"",ISNUMBER(SEARCH(Skills!$B$11,AU224)))),1,0))</f>
        <v/>
      </c>
      <c r="BE224" s="23">
        <f>IF(AR224="","",IF(OR(TRIM(AL224&amp;"")&lt;&gt;"",AND(Skills!$B$12&lt;&gt;"",ISNUMBER(SEARCH(Skills!$B$12,AU224)))),1,0))</f>
        <v/>
      </c>
      <c r="BF224" s="23">
        <f>IF(AR224="","",IF(OR(TRIM(AM224&amp;"")&lt;&gt;"",AND(Skills!$B$13&lt;&gt;"",ISNUMBER(SEARCH(Skills!$B$13,AU224)))),1,0))</f>
        <v/>
      </c>
      <c r="BG224" s="23">
        <f>IF(AR224="","",IF(OR(TRIM(AN224&amp;"")&lt;&gt;"",AND(Skills!$B$14&lt;&gt;"",ISNUMBER(SEARCH(Skills!$B$14,AU224)))),1,0))</f>
        <v/>
      </c>
      <c r="BH224" s="23">
        <f>IF(AR224="","",IF(OR(TRIM(AO224&amp;"")&lt;&gt;"",AND(Skills!$B$15&lt;&gt;"",ISNUMBER(SEARCH(Skills!$B$15,AU224)))),1,0))</f>
        <v/>
      </c>
      <c r="BI224" s="23">
        <f>IF(AR224="","",IF(OR(TRIM(AP224&amp;"")&lt;&gt;"",AND(Skills!$B$16&lt;&gt;"",ISNUMBER(SEARCH(Skills!$B$16,AU224)))),1,0))</f>
        <v/>
      </c>
      <c r="BJ224" s="23">
        <f>IF(AR224="","",SUMPRODUCT($AX224:$BI224,Skills!$B$20:$M$20))</f>
        <v/>
      </c>
      <c r="BK224" s="23">
        <f>IF(AR224="","",BJ224*100000+(100000-ROW()))</f>
        <v/>
      </c>
      <c r="BL224" s="31">
        <f>IF(AR224="","",IF((IF(AND(AX224=1,Skills!$B$20=1),Skills!$B$5&amp;", ","")&amp;IF(AND(AY224=1,Skills!$C$20=1),Skills!$B$6&amp;", ","")&amp;IF(AND(AZ224=1,Skills!$D$20=1),Skills!$B$7&amp;", ","")&amp;IF(AND(BA224=1,Skills!$E$20=1),Skills!$B$8&amp;", ","")&amp;IF(AND(BB224=1,Skills!$F$20=1),Skills!$B$9&amp;", ","")&amp;IF(AND(BC224=1,Skills!$G$20=1),Skills!$B$10&amp;", ","")&amp;IF(AND(BD224=1,Skills!$H$20=1),Skills!$B$11&amp;", ","")&amp;IF(AND(BE224=1,Skills!$I$20=1),Skills!$B$12&amp;", ","")&amp;IF(AND(BF224=1,Skills!$J$20=1),Skills!$B$13&amp;", ","")&amp;IF(AND(BG224=1,Skills!$K$20=1),Skills!$B$14&amp;", ","")&amp;IF(AND(BH224=1,Skills!$L$20=1),Skills!$B$15&amp;", ","")&amp;IF(AND(BI224=1,Skills!$M$20=1),Skills!$B$16&amp;", ",""))="","",LEFT(IF(AND(AX224=1,Skills!$B$20=1),Skills!$B$5&amp;", ","")&amp;IF(AND(AY224=1,Skills!$C$20=1),Skills!$B$6&amp;", ","")&amp;IF(AND(AZ224=1,Skills!$D$20=1),Skills!$B$7&amp;", ","")&amp;IF(AND(BA224=1,Skills!$E$20=1),Skills!$B$8&amp;", ","")&amp;IF(AND(BB224=1,Skills!$F$20=1),Skills!$B$9&amp;", ","")&amp;IF(AND(BC224=1,Skills!$G$20=1),Skills!$B$10&amp;", ","")&amp;IF(AND(BD224=1,Skills!$H$20=1),Skills!$B$11&amp;", ","")&amp;IF(AND(BE224=1,Skills!$I$20=1),Skills!$B$12&amp;", ","")&amp;IF(AND(BF224=1,Skills!$J$20=1),Skills!$B$13&amp;", ","")&amp;IF(AND(BG224=1,Skills!$K$20=1),Skills!$B$14&amp;", ","")&amp;IF(AND(BH224=1,Skills!$L$20=1),Skills!$B$15&amp;", ","")&amp;IF(AND(BI224=1,Skills!$M$20=1),Skills!$B$16&amp;", ",""),LEN(IF(AND(AX224=1,Skills!$B$20=1),Skills!$B$5&amp;", ","")&amp;IF(AND(AY224=1,Skills!$C$20=1),Skills!$B$6&amp;", ","")&amp;IF(AND(AZ224=1,Skills!$D$20=1),Skills!$B$7&amp;", ","")&amp;IF(AND(BA224=1,Skills!$E$20=1),Skills!$B$8&amp;", ","")&amp;IF(AND(BB224=1,Skills!$F$20=1),Skills!$B$9&amp;", ","")&amp;IF(AND(BC224=1,Skills!$G$20=1),Skills!$B$10&amp;", ","")&amp;IF(AND(BD224=1,Skills!$H$20=1),Skills!$B$11&amp;", ","")&amp;IF(AND(BE224=1,Skills!$I$20=1),Skills!$B$12&amp;", ","")&amp;IF(AND(BF224=1,Skills!$J$20=1),Skills!$B$13&amp;", ","")&amp;IF(AND(BG224=1,Skills!$K$20=1),Skills!$B$14&amp;", ","")&amp;IF(AND(BH224=1,Skills!$L$20=1),Skills!$B$15&amp;", ","")&amp;IF(AND(BI224=1,Skills!$M$20=1),Skills!$B$16&amp;", ",""))-2)))</f>
        <v/>
      </c>
    </row>
    <row r="225">
      <c r="AD225" s="20" t="n"/>
      <c r="AE225" s="20" t="n"/>
      <c r="AF225" s="20" t="n"/>
      <c r="AG225" s="20" t="n"/>
      <c r="AH225" s="20" t="n"/>
      <c r="AI225" s="20" t="n"/>
      <c r="AJ225" s="20" t="n"/>
      <c r="AK225" s="20" t="n"/>
      <c r="AL225" s="20" t="n"/>
      <c r="AM225" s="20" t="n"/>
      <c r="AN225" s="20" t="n"/>
      <c r="AO225" s="20" t="n"/>
      <c r="AP225" s="20" t="n"/>
      <c r="AR225" s="31">
        <f>IF(IFERROR(TRIM(INDEX($A225:$AB225,MATCH(Lists!$B$5,$A$1:$AB$1,0))&amp;""),"")&lt;&gt;"",IFERROR(TRIM(INDEX($A225:$AB225,MATCH(Lists!$B$5,$A$1:$AB$1,0))&amp;""),""),IFERROR(TRIM(INDEX($A225:$AB225,MATCH(Lists!$B$3,$A$1:$AB$1,0))&amp;""),""))</f>
        <v/>
      </c>
      <c r="AS225" s="31">
        <f>IF(AR225="","",IF(IFERROR(TRIM(INDEX($A225:$AB225,MATCH(Lists!$B$5,$A$1:$AB$1,0))&amp;""),"")&lt;&gt;"","Nominated","Applied"))</f>
        <v/>
      </c>
      <c r="AT225" s="31">
        <f>IF(AR225="","",IF(IFERROR(TRIM(INDEX($A225:$AB225,MATCH(Lists!$B$5,$A$1:$AB$1,0))&amp;""),"")&lt;&gt;"",IFERROR(TRIM(INDEX($A225:$AB225,MATCH(Lists!$B$6,$A$1:$AB$1,0))&amp;""),""),IFERROR(TRIM(INDEX($A225:$AB225,MATCH(Lists!$B$4,$A$1:$AB$1,0))&amp;""),"")))</f>
        <v/>
      </c>
      <c r="AU225" s="31">
        <f>IF(AR225="","",IFERROR(TRIM(INDEX($A225:$AB225,MATCH(Lists!$B$7,$A$1:$AB$1,0))&amp;""),""))</f>
        <v/>
      </c>
      <c r="AV225" s="31">
        <f>IF(AR225="","",IFERROR(TRIM(INDEX($A225:$AB225,MATCH(Lists!$B$9,$A$1:$AB$1,0))&amp;""),""))</f>
        <v/>
      </c>
      <c r="AW225" s="31">
        <f>IF(AR225="","",IFERROR(TRIM(INDEX($A225:$AB225,MATCH(Lists!$B$8,$A$1:$AB$1,0))&amp;""),""))</f>
        <v/>
      </c>
      <c r="AX225" s="23">
        <f>IF(AR225="","",IF(OR(TRIM(AE225&amp;"")&lt;&gt;"",AND(Skills!$B$5&lt;&gt;"",ISNUMBER(SEARCH(Skills!$B$5,AU225)))),1,0))</f>
        <v/>
      </c>
      <c r="AY225" s="23">
        <f>IF(AR225="","",IF(OR(TRIM(AF225&amp;"")&lt;&gt;"",AND(Skills!$B$6&lt;&gt;"",ISNUMBER(SEARCH(Skills!$B$6,AU225)))),1,0))</f>
        <v/>
      </c>
      <c r="AZ225" s="23">
        <f>IF(AR225="","",IF(OR(TRIM(AG225&amp;"")&lt;&gt;"",AND(Skills!$B$7&lt;&gt;"",ISNUMBER(SEARCH(Skills!$B$7,AU225)))),1,0))</f>
        <v/>
      </c>
      <c r="BA225" s="23">
        <f>IF(AR225="","",IF(OR(TRIM(AH225&amp;"")&lt;&gt;"",AND(Skills!$B$8&lt;&gt;"",ISNUMBER(SEARCH(Skills!$B$8,AU225)))),1,0))</f>
        <v/>
      </c>
      <c r="BB225" s="23">
        <f>IF(AR225="","",IF(OR(TRIM(AI225&amp;"")&lt;&gt;"",AND(Skills!$B$9&lt;&gt;"",ISNUMBER(SEARCH(Skills!$B$9,AU225)))),1,0))</f>
        <v/>
      </c>
      <c r="BC225" s="23">
        <f>IF(AR225="","",IF(OR(TRIM(AJ225&amp;"")&lt;&gt;"",AND(Skills!$B$10&lt;&gt;"",ISNUMBER(SEARCH(Skills!$B$10,AU225)))),1,0))</f>
        <v/>
      </c>
      <c r="BD225" s="23">
        <f>IF(AR225="","",IF(OR(TRIM(AK225&amp;"")&lt;&gt;"",AND(Skills!$B$11&lt;&gt;"",ISNUMBER(SEARCH(Skills!$B$11,AU225)))),1,0))</f>
        <v/>
      </c>
      <c r="BE225" s="23">
        <f>IF(AR225="","",IF(OR(TRIM(AL225&amp;"")&lt;&gt;"",AND(Skills!$B$12&lt;&gt;"",ISNUMBER(SEARCH(Skills!$B$12,AU225)))),1,0))</f>
        <v/>
      </c>
      <c r="BF225" s="23">
        <f>IF(AR225="","",IF(OR(TRIM(AM225&amp;"")&lt;&gt;"",AND(Skills!$B$13&lt;&gt;"",ISNUMBER(SEARCH(Skills!$B$13,AU225)))),1,0))</f>
        <v/>
      </c>
      <c r="BG225" s="23">
        <f>IF(AR225="","",IF(OR(TRIM(AN225&amp;"")&lt;&gt;"",AND(Skills!$B$14&lt;&gt;"",ISNUMBER(SEARCH(Skills!$B$14,AU225)))),1,0))</f>
        <v/>
      </c>
      <c r="BH225" s="23">
        <f>IF(AR225="","",IF(OR(TRIM(AO225&amp;"")&lt;&gt;"",AND(Skills!$B$15&lt;&gt;"",ISNUMBER(SEARCH(Skills!$B$15,AU225)))),1,0))</f>
        <v/>
      </c>
      <c r="BI225" s="23">
        <f>IF(AR225="","",IF(OR(TRIM(AP225&amp;"")&lt;&gt;"",AND(Skills!$B$16&lt;&gt;"",ISNUMBER(SEARCH(Skills!$B$16,AU225)))),1,0))</f>
        <v/>
      </c>
      <c r="BJ225" s="23">
        <f>IF(AR225="","",SUMPRODUCT($AX225:$BI225,Skills!$B$20:$M$20))</f>
        <v/>
      </c>
      <c r="BK225" s="23">
        <f>IF(AR225="","",BJ225*100000+(100000-ROW()))</f>
        <v/>
      </c>
      <c r="BL225" s="31">
        <f>IF(AR225="","",IF((IF(AND(AX225=1,Skills!$B$20=1),Skills!$B$5&amp;", ","")&amp;IF(AND(AY225=1,Skills!$C$20=1),Skills!$B$6&amp;", ","")&amp;IF(AND(AZ225=1,Skills!$D$20=1),Skills!$B$7&amp;", ","")&amp;IF(AND(BA225=1,Skills!$E$20=1),Skills!$B$8&amp;", ","")&amp;IF(AND(BB225=1,Skills!$F$20=1),Skills!$B$9&amp;", ","")&amp;IF(AND(BC225=1,Skills!$G$20=1),Skills!$B$10&amp;", ","")&amp;IF(AND(BD225=1,Skills!$H$20=1),Skills!$B$11&amp;", ","")&amp;IF(AND(BE225=1,Skills!$I$20=1),Skills!$B$12&amp;", ","")&amp;IF(AND(BF225=1,Skills!$J$20=1),Skills!$B$13&amp;", ","")&amp;IF(AND(BG225=1,Skills!$K$20=1),Skills!$B$14&amp;", ","")&amp;IF(AND(BH225=1,Skills!$L$20=1),Skills!$B$15&amp;", ","")&amp;IF(AND(BI225=1,Skills!$M$20=1),Skills!$B$16&amp;", ",""))="","",LEFT(IF(AND(AX225=1,Skills!$B$20=1),Skills!$B$5&amp;", ","")&amp;IF(AND(AY225=1,Skills!$C$20=1),Skills!$B$6&amp;", ","")&amp;IF(AND(AZ225=1,Skills!$D$20=1),Skills!$B$7&amp;", ","")&amp;IF(AND(BA225=1,Skills!$E$20=1),Skills!$B$8&amp;", ","")&amp;IF(AND(BB225=1,Skills!$F$20=1),Skills!$B$9&amp;", ","")&amp;IF(AND(BC225=1,Skills!$G$20=1),Skills!$B$10&amp;", ","")&amp;IF(AND(BD225=1,Skills!$H$20=1),Skills!$B$11&amp;", ","")&amp;IF(AND(BE225=1,Skills!$I$20=1),Skills!$B$12&amp;", ","")&amp;IF(AND(BF225=1,Skills!$J$20=1),Skills!$B$13&amp;", ","")&amp;IF(AND(BG225=1,Skills!$K$20=1),Skills!$B$14&amp;", ","")&amp;IF(AND(BH225=1,Skills!$L$20=1),Skills!$B$15&amp;", ","")&amp;IF(AND(BI225=1,Skills!$M$20=1),Skills!$B$16&amp;", ",""),LEN(IF(AND(AX225=1,Skills!$B$20=1),Skills!$B$5&amp;", ","")&amp;IF(AND(AY225=1,Skills!$C$20=1),Skills!$B$6&amp;", ","")&amp;IF(AND(AZ225=1,Skills!$D$20=1),Skills!$B$7&amp;", ","")&amp;IF(AND(BA225=1,Skills!$E$20=1),Skills!$B$8&amp;", ","")&amp;IF(AND(BB225=1,Skills!$F$20=1),Skills!$B$9&amp;", ","")&amp;IF(AND(BC225=1,Skills!$G$20=1),Skills!$B$10&amp;", ","")&amp;IF(AND(BD225=1,Skills!$H$20=1),Skills!$B$11&amp;", ","")&amp;IF(AND(BE225=1,Skills!$I$20=1),Skills!$B$12&amp;", ","")&amp;IF(AND(BF225=1,Skills!$J$20=1),Skills!$B$13&amp;", ","")&amp;IF(AND(BG225=1,Skills!$K$20=1),Skills!$B$14&amp;", ","")&amp;IF(AND(BH225=1,Skills!$L$20=1),Skills!$B$15&amp;", ","")&amp;IF(AND(BI225=1,Skills!$M$20=1),Skills!$B$16&amp;", ",""))-2)))</f>
        <v/>
      </c>
    </row>
    <row r="226">
      <c r="AD226" s="20" t="n"/>
      <c r="AE226" s="20" t="n"/>
      <c r="AF226" s="20" t="n"/>
      <c r="AG226" s="20" t="n"/>
      <c r="AH226" s="20" t="n"/>
      <c r="AI226" s="20" t="n"/>
      <c r="AJ226" s="20" t="n"/>
      <c r="AK226" s="20" t="n"/>
      <c r="AL226" s="20" t="n"/>
      <c r="AM226" s="20" t="n"/>
      <c r="AN226" s="20" t="n"/>
      <c r="AO226" s="20" t="n"/>
      <c r="AP226" s="20" t="n"/>
      <c r="AR226" s="31">
        <f>IF(IFERROR(TRIM(INDEX($A226:$AB226,MATCH(Lists!$B$5,$A$1:$AB$1,0))&amp;""),"")&lt;&gt;"",IFERROR(TRIM(INDEX($A226:$AB226,MATCH(Lists!$B$5,$A$1:$AB$1,0))&amp;""),""),IFERROR(TRIM(INDEX($A226:$AB226,MATCH(Lists!$B$3,$A$1:$AB$1,0))&amp;""),""))</f>
        <v/>
      </c>
      <c r="AS226" s="31">
        <f>IF(AR226="","",IF(IFERROR(TRIM(INDEX($A226:$AB226,MATCH(Lists!$B$5,$A$1:$AB$1,0))&amp;""),"")&lt;&gt;"","Nominated","Applied"))</f>
        <v/>
      </c>
      <c r="AT226" s="31">
        <f>IF(AR226="","",IF(IFERROR(TRIM(INDEX($A226:$AB226,MATCH(Lists!$B$5,$A$1:$AB$1,0))&amp;""),"")&lt;&gt;"",IFERROR(TRIM(INDEX($A226:$AB226,MATCH(Lists!$B$6,$A$1:$AB$1,0))&amp;""),""),IFERROR(TRIM(INDEX($A226:$AB226,MATCH(Lists!$B$4,$A$1:$AB$1,0))&amp;""),"")))</f>
        <v/>
      </c>
      <c r="AU226" s="31">
        <f>IF(AR226="","",IFERROR(TRIM(INDEX($A226:$AB226,MATCH(Lists!$B$7,$A$1:$AB$1,0))&amp;""),""))</f>
        <v/>
      </c>
      <c r="AV226" s="31">
        <f>IF(AR226="","",IFERROR(TRIM(INDEX($A226:$AB226,MATCH(Lists!$B$9,$A$1:$AB$1,0))&amp;""),""))</f>
        <v/>
      </c>
      <c r="AW226" s="31">
        <f>IF(AR226="","",IFERROR(TRIM(INDEX($A226:$AB226,MATCH(Lists!$B$8,$A$1:$AB$1,0))&amp;""),""))</f>
        <v/>
      </c>
      <c r="AX226" s="23">
        <f>IF(AR226="","",IF(OR(TRIM(AE226&amp;"")&lt;&gt;"",AND(Skills!$B$5&lt;&gt;"",ISNUMBER(SEARCH(Skills!$B$5,AU226)))),1,0))</f>
        <v/>
      </c>
      <c r="AY226" s="23">
        <f>IF(AR226="","",IF(OR(TRIM(AF226&amp;"")&lt;&gt;"",AND(Skills!$B$6&lt;&gt;"",ISNUMBER(SEARCH(Skills!$B$6,AU226)))),1,0))</f>
        <v/>
      </c>
      <c r="AZ226" s="23">
        <f>IF(AR226="","",IF(OR(TRIM(AG226&amp;"")&lt;&gt;"",AND(Skills!$B$7&lt;&gt;"",ISNUMBER(SEARCH(Skills!$B$7,AU226)))),1,0))</f>
        <v/>
      </c>
      <c r="BA226" s="23">
        <f>IF(AR226="","",IF(OR(TRIM(AH226&amp;"")&lt;&gt;"",AND(Skills!$B$8&lt;&gt;"",ISNUMBER(SEARCH(Skills!$B$8,AU226)))),1,0))</f>
        <v/>
      </c>
      <c r="BB226" s="23">
        <f>IF(AR226="","",IF(OR(TRIM(AI226&amp;"")&lt;&gt;"",AND(Skills!$B$9&lt;&gt;"",ISNUMBER(SEARCH(Skills!$B$9,AU226)))),1,0))</f>
        <v/>
      </c>
      <c r="BC226" s="23">
        <f>IF(AR226="","",IF(OR(TRIM(AJ226&amp;"")&lt;&gt;"",AND(Skills!$B$10&lt;&gt;"",ISNUMBER(SEARCH(Skills!$B$10,AU226)))),1,0))</f>
        <v/>
      </c>
      <c r="BD226" s="23">
        <f>IF(AR226="","",IF(OR(TRIM(AK226&amp;"")&lt;&gt;"",AND(Skills!$B$11&lt;&gt;"",ISNUMBER(SEARCH(Skills!$B$11,AU226)))),1,0))</f>
        <v/>
      </c>
      <c r="BE226" s="23">
        <f>IF(AR226="","",IF(OR(TRIM(AL226&amp;"")&lt;&gt;"",AND(Skills!$B$12&lt;&gt;"",ISNUMBER(SEARCH(Skills!$B$12,AU226)))),1,0))</f>
        <v/>
      </c>
      <c r="BF226" s="23">
        <f>IF(AR226="","",IF(OR(TRIM(AM226&amp;"")&lt;&gt;"",AND(Skills!$B$13&lt;&gt;"",ISNUMBER(SEARCH(Skills!$B$13,AU226)))),1,0))</f>
        <v/>
      </c>
      <c r="BG226" s="23">
        <f>IF(AR226="","",IF(OR(TRIM(AN226&amp;"")&lt;&gt;"",AND(Skills!$B$14&lt;&gt;"",ISNUMBER(SEARCH(Skills!$B$14,AU226)))),1,0))</f>
        <v/>
      </c>
      <c r="BH226" s="23">
        <f>IF(AR226="","",IF(OR(TRIM(AO226&amp;"")&lt;&gt;"",AND(Skills!$B$15&lt;&gt;"",ISNUMBER(SEARCH(Skills!$B$15,AU226)))),1,0))</f>
        <v/>
      </c>
      <c r="BI226" s="23">
        <f>IF(AR226="","",IF(OR(TRIM(AP226&amp;"")&lt;&gt;"",AND(Skills!$B$16&lt;&gt;"",ISNUMBER(SEARCH(Skills!$B$16,AU226)))),1,0))</f>
        <v/>
      </c>
      <c r="BJ226" s="23">
        <f>IF(AR226="","",SUMPRODUCT($AX226:$BI226,Skills!$B$20:$M$20))</f>
        <v/>
      </c>
      <c r="BK226" s="23">
        <f>IF(AR226="","",BJ226*100000+(100000-ROW()))</f>
        <v/>
      </c>
      <c r="BL226" s="31">
        <f>IF(AR226="","",IF((IF(AND(AX226=1,Skills!$B$20=1),Skills!$B$5&amp;", ","")&amp;IF(AND(AY226=1,Skills!$C$20=1),Skills!$B$6&amp;", ","")&amp;IF(AND(AZ226=1,Skills!$D$20=1),Skills!$B$7&amp;", ","")&amp;IF(AND(BA226=1,Skills!$E$20=1),Skills!$B$8&amp;", ","")&amp;IF(AND(BB226=1,Skills!$F$20=1),Skills!$B$9&amp;", ","")&amp;IF(AND(BC226=1,Skills!$G$20=1),Skills!$B$10&amp;", ","")&amp;IF(AND(BD226=1,Skills!$H$20=1),Skills!$B$11&amp;", ","")&amp;IF(AND(BE226=1,Skills!$I$20=1),Skills!$B$12&amp;", ","")&amp;IF(AND(BF226=1,Skills!$J$20=1),Skills!$B$13&amp;", ","")&amp;IF(AND(BG226=1,Skills!$K$20=1),Skills!$B$14&amp;", ","")&amp;IF(AND(BH226=1,Skills!$L$20=1),Skills!$B$15&amp;", ","")&amp;IF(AND(BI226=1,Skills!$M$20=1),Skills!$B$16&amp;", ",""))="","",LEFT(IF(AND(AX226=1,Skills!$B$20=1),Skills!$B$5&amp;", ","")&amp;IF(AND(AY226=1,Skills!$C$20=1),Skills!$B$6&amp;", ","")&amp;IF(AND(AZ226=1,Skills!$D$20=1),Skills!$B$7&amp;", ","")&amp;IF(AND(BA226=1,Skills!$E$20=1),Skills!$B$8&amp;", ","")&amp;IF(AND(BB226=1,Skills!$F$20=1),Skills!$B$9&amp;", ","")&amp;IF(AND(BC226=1,Skills!$G$20=1),Skills!$B$10&amp;", ","")&amp;IF(AND(BD226=1,Skills!$H$20=1),Skills!$B$11&amp;", ","")&amp;IF(AND(BE226=1,Skills!$I$20=1),Skills!$B$12&amp;", ","")&amp;IF(AND(BF226=1,Skills!$J$20=1),Skills!$B$13&amp;", ","")&amp;IF(AND(BG226=1,Skills!$K$20=1),Skills!$B$14&amp;", ","")&amp;IF(AND(BH226=1,Skills!$L$20=1),Skills!$B$15&amp;", ","")&amp;IF(AND(BI226=1,Skills!$M$20=1),Skills!$B$16&amp;", ",""),LEN(IF(AND(AX226=1,Skills!$B$20=1),Skills!$B$5&amp;", ","")&amp;IF(AND(AY226=1,Skills!$C$20=1),Skills!$B$6&amp;", ","")&amp;IF(AND(AZ226=1,Skills!$D$20=1),Skills!$B$7&amp;", ","")&amp;IF(AND(BA226=1,Skills!$E$20=1),Skills!$B$8&amp;", ","")&amp;IF(AND(BB226=1,Skills!$F$20=1),Skills!$B$9&amp;", ","")&amp;IF(AND(BC226=1,Skills!$G$20=1),Skills!$B$10&amp;", ","")&amp;IF(AND(BD226=1,Skills!$H$20=1),Skills!$B$11&amp;", ","")&amp;IF(AND(BE226=1,Skills!$I$20=1),Skills!$B$12&amp;", ","")&amp;IF(AND(BF226=1,Skills!$J$20=1),Skills!$B$13&amp;", ","")&amp;IF(AND(BG226=1,Skills!$K$20=1),Skills!$B$14&amp;", ","")&amp;IF(AND(BH226=1,Skills!$L$20=1),Skills!$B$15&amp;", ","")&amp;IF(AND(BI226=1,Skills!$M$20=1),Skills!$B$16&amp;", ",""))-2)))</f>
        <v/>
      </c>
    </row>
    <row r="227">
      <c r="AD227" s="20" t="n"/>
      <c r="AE227" s="20" t="n"/>
      <c r="AF227" s="20" t="n"/>
      <c r="AG227" s="20" t="n"/>
      <c r="AH227" s="20" t="n"/>
      <c r="AI227" s="20" t="n"/>
      <c r="AJ227" s="20" t="n"/>
      <c r="AK227" s="20" t="n"/>
      <c r="AL227" s="20" t="n"/>
      <c r="AM227" s="20" t="n"/>
      <c r="AN227" s="20" t="n"/>
      <c r="AO227" s="20" t="n"/>
      <c r="AP227" s="20" t="n"/>
      <c r="AR227" s="31">
        <f>IF(IFERROR(TRIM(INDEX($A227:$AB227,MATCH(Lists!$B$5,$A$1:$AB$1,0))&amp;""),"")&lt;&gt;"",IFERROR(TRIM(INDEX($A227:$AB227,MATCH(Lists!$B$5,$A$1:$AB$1,0))&amp;""),""),IFERROR(TRIM(INDEX($A227:$AB227,MATCH(Lists!$B$3,$A$1:$AB$1,0))&amp;""),""))</f>
        <v/>
      </c>
      <c r="AS227" s="31">
        <f>IF(AR227="","",IF(IFERROR(TRIM(INDEX($A227:$AB227,MATCH(Lists!$B$5,$A$1:$AB$1,0))&amp;""),"")&lt;&gt;"","Nominated","Applied"))</f>
        <v/>
      </c>
      <c r="AT227" s="31">
        <f>IF(AR227="","",IF(IFERROR(TRIM(INDEX($A227:$AB227,MATCH(Lists!$B$5,$A$1:$AB$1,0))&amp;""),"")&lt;&gt;"",IFERROR(TRIM(INDEX($A227:$AB227,MATCH(Lists!$B$6,$A$1:$AB$1,0))&amp;""),""),IFERROR(TRIM(INDEX($A227:$AB227,MATCH(Lists!$B$4,$A$1:$AB$1,0))&amp;""),"")))</f>
        <v/>
      </c>
      <c r="AU227" s="31">
        <f>IF(AR227="","",IFERROR(TRIM(INDEX($A227:$AB227,MATCH(Lists!$B$7,$A$1:$AB$1,0))&amp;""),""))</f>
        <v/>
      </c>
      <c r="AV227" s="31">
        <f>IF(AR227="","",IFERROR(TRIM(INDEX($A227:$AB227,MATCH(Lists!$B$9,$A$1:$AB$1,0))&amp;""),""))</f>
        <v/>
      </c>
      <c r="AW227" s="31">
        <f>IF(AR227="","",IFERROR(TRIM(INDEX($A227:$AB227,MATCH(Lists!$B$8,$A$1:$AB$1,0))&amp;""),""))</f>
        <v/>
      </c>
      <c r="AX227" s="23">
        <f>IF(AR227="","",IF(OR(TRIM(AE227&amp;"")&lt;&gt;"",AND(Skills!$B$5&lt;&gt;"",ISNUMBER(SEARCH(Skills!$B$5,AU227)))),1,0))</f>
        <v/>
      </c>
      <c r="AY227" s="23">
        <f>IF(AR227="","",IF(OR(TRIM(AF227&amp;"")&lt;&gt;"",AND(Skills!$B$6&lt;&gt;"",ISNUMBER(SEARCH(Skills!$B$6,AU227)))),1,0))</f>
        <v/>
      </c>
      <c r="AZ227" s="23">
        <f>IF(AR227="","",IF(OR(TRIM(AG227&amp;"")&lt;&gt;"",AND(Skills!$B$7&lt;&gt;"",ISNUMBER(SEARCH(Skills!$B$7,AU227)))),1,0))</f>
        <v/>
      </c>
      <c r="BA227" s="23">
        <f>IF(AR227="","",IF(OR(TRIM(AH227&amp;"")&lt;&gt;"",AND(Skills!$B$8&lt;&gt;"",ISNUMBER(SEARCH(Skills!$B$8,AU227)))),1,0))</f>
        <v/>
      </c>
      <c r="BB227" s="23">
        <f>IF(AR227="","",IF(OR(TRIM(AI227&amp;"")&lt;&gt;"",AND(Skills!$B$9&lt;&gt;"",ISNUMBER(SEARCH(Skills!$B$9,AU227)))),1,0))</f>
        <v/>
      </c>
      <c r="BC227" s="23">
        <f>IF(AR227="","",IF(OR(TRIM(AJ227&amp;"")&lt;&gt;"",AND(Skills!$B$10&lt;&gt;"",ISNUMBER(SEARCH(Skills!$B$10,AU227)))),1,0))</f>
        <v/>
      </c>
      <c r="BD227" s="23">
        <f>IF(AR227="","",IF(OR(TRIM(AK227&amp;"")&lt;&gt;"",AND(Skills!$B$11&lt;&gt;"",ISNUMBER(SEARCH(Skills!$B$11,AU227)))),1,0))</f>
        <v/>
      </c>
      <c r="BE227" s="23">
        <f>IF(AR227="","",IF(OR(TRIM(AL227&amp;"")&lt;&gt;"",AND(Skills!$B$12&lt;&gt;"",ISNUMBER(SEARCH(Skills!$B$12,AU227)))),1,0))</f>
        <v/>
      </c>
      <c r="BF227" s="23">
        <f>IF(AR227="","",IF(OR(TRIM(AM227&amp;"")&lt;&gt;"",AND(Skills!$B$13&lt;&gt;"",ISNUMBER(SEARCH(Skills!$B$13,AU227)))),1,0))</f>
        <v/>
      </c>
      <c r="BG227" s="23">
        <f>IF(AR227="","",IF(OR(TRIM(AN227&amp;"")&lt;&gt;"",AND(Skills!$B$14&lt;&gt;"",ISNUMBER(SEARCH(Skills!$B$14,AU227)))),1,0))</f>
        <v/>
      </c>
      <c r="BH227" s="23">
        <f>IF(AR227="","",IF(OR(TRIM(AO227&amp;"")&lt;&gt;"",AND(Skills!$B$15&lt;&gt;"",ISNUMBER(SEARCH(Skills!$B$15,AU227)))),1,0))</f>
        <v/>
      </c>
      <c r="BI227" s="23">
        <f>IF(AR227="","",IF(OR(TRIM(AP227&amp;"")&lt;&gt;"",AND(Skills!$B$16&lt;&gt;"",ISNUMBER(SEARCH(Skills!$B$16,AU227)))),1,0))</f>
        <v/>
      </c>
      <c r="BJ227" s="23">
        <f>IF(AR227="","",SUMPRODUCT($AX227:$BI227,Skills!$B$20:$M$20))</f>
        <v/>
      </c>
      <c r="BK227" s="23">
        <f>IF(AR227="","",BJ227*100000+(100000-ROW()))</f>
        <v/>
      </c>
      <c r="BL227" s="31">
        <f>IF(AR227="","",IF((IF(AND(AX227=1,Skills!$B$20=1),Skills!$B$5&amp;", ","")&amp;IF(AND(AY227=1,Skills!$C$20=1),Skills!$B$6&amp;", ","")&amp;IF(AND(AZ227=1,Skills!$D$20=1),Skills!$B$7&amp;", ","")&amp;IF(AND(BA227=1,Skills!$E$20=1),Skills!$B$8&amp;", ","")&amp;IF(AND(BB227=1,Skills!$F$20=1),Skills!$B$9&amp;", ","")&amp;IF(AND(BC227=1,Skills!$G$20=1),Skills!$B$10&amp;", ","")&amp;IF(AND(BD227=1,Skills!$H$20=1),Skills!$B$11&amp;", ","")&amp;IF(AND(BE227=1,Skills!$I$20=1),Skills!$B$12&amp;", ","")&amp;IF(AND(BF227=1,Skills!$J$20=1),Skills!$B$13&amp;", ","")&amp;IF(AND(BG227=1,Skills!$K$20=1),Skills!$B$14&amp;", ","")&amp;IF(AND(BH227=1,Skills!$L$20=1),Skills!$B$15&amp;", ","")&amp;IF(AND(BI227=1,Skills!$M$20=1),Skills!$B$16&amp;", ",""))="","",LEFT(IF(AND(AX227=1,Skills!$B$20=1),Skills!$B$5&amp;", ","")&amp;IF(AND(AY227=1,Skills!$C$20=1),Skills!$B$6&amp;", ","")&amp;IF(AND(AZ227=1,Skills!$D$20=1),Skills!$B$7&amp;", ","")&amp;IF(AND(BA227=1,Skills!$E$20=1),Skills!$B$8&amp;", ","")&amp;IF(AND(BB227=1,Skills!$F$20=1),Skills!$B$9&amp;", ","")&amp;IF(AND(BC227=1,Skills!$G$20=1),Skills!$B$10&amp;", ","")&amp;IF(AND(BD227=1,Skills!$H$20=1),Skills!$B$11&amp;", ","")&amp;IF(AND(BE227=1,Skills!$I$20=1),Skills!$B$12&amp;", ","")&amp;IF(AND(BF227=1,Skills!$J$20=1),Skills!$B$13&amp;", ","")&amp;IF(AND(BG227=1,Skills!$K$20=1),Skills!$B$14&amp;", ","")&amp;IF(AND(BH227=1,Skills!$L$20=1),Skills!$B$15&amp;", ","")&amp;IF(AND(BI227=1,Skills!$M$20=1),Skills!$B$16&amp;", ",""),LEN(IF(AND(AX227=1,Skills!$B$20=1),Skills!$B$5&amp;", ","")&amp;IF(AND(AY227=1,Skills!$C$20=1),Skills!$B$6&amp;", ","")&amp;IF(AND(AZ227=1,Skills!$D$20=1),Skills!$B$7&amp;", ","")&amp;IF(AND(BA227=1,Skills!$E$20=1),Skills!$B$8&amp;", ","")&amp;IF(AND(BB227=1,Skills!$F$20=1),Skills!$B$9&amp;", ","")&amp;IF(AND(BC227=1,Skills!$G$20=1),Skills!$B$10&amp;", ","")&amp;IF(AND(BD227=1,Skills!$H$20=1),Skills!$B$11&amp;", ","")&amp;IF(AND(BE227=1,Skills!$I$20=1),Skills!$B$12&amp;", ","")&amp;IF(AND(BF227=1,Skills!$J$20=1),Skills!$B$13&amp;", ","")&amp;IF(AND(BG227=1,Skills!$K$20=1),Skills!$B$14&amp;", ","")&amp;IF(AND(BH227=1,Skills!$L$20=1),Skills!$B$15&amp;", ","")&amp;IF(AND(BI227=1,Skills!$M$20=1),Skills!$B$16&amp;", ",""))-2)))</f>
        <v/>
      </c>
    </row>
    <row r="228">
      <c r="AD228" s="20" t="n"/>
      <c r="AE228" s="20" t="n"/>
      <c r="AF228" s="20" t="n"/>
      <c r="AG228" s="20" t="n"/>
      <c r="AH228" s="20" t="n"/>
      <c r="AI228" s="20" t="n"/>
      <c r="AJ228" s="20" t="n"/>
      <c r="AK228" s="20" t="n"/>
      <c r="AL228" s="20" t="n"/>
      <c r="AM228" s="20" t="n"/>
      <c r="AN228" s="20" t="n"/>
      <c r="AO228" s="20" t="n"/>
      <c r="AP228" s="20" t="n"/>
      <c r="AR228" s="31">
        <f>IF(IFERROR(TRIM(INDEX($A228:$AB228,MATCH(Lists!$B$5,$A$1:$AB$1,0))&amp;""),"")&lt;&gt;"",IFERROR(TRIM(INDEX($A228:$AB228,MATCH(Lists!$B$5,$A$1:$AB$1,0))&amp;""),""),IFERROR(TRIM(INDEX($A228:$AB228,MATCH(Lists!$B$3,$A$1:$AB$1,0))&amp;""),""))</f>
        <v/>
      </c>
      <c r="AS228" s="31">
        <f>IF(AR228="","",IF(IFERROR(TRIM(INDEX($A228:$AB228,MATCH(Lists!$B$5,$A$1:$AB$1,0))&amp;""),"")&lt;&gt;"","Nominated","Applied"))</f>
        <v/>
      </c>
      <c r="AT228" s="31">
        <f>IF(AR228="","",IF(IFERROR(TRIM(INDEX($A228:$AB228,MATCH(Lists!$B$5,$A$1:$AB$1,0))&amp;""),"")&lt;&gt;"",IFERROR(TRIM(INDEX($A228:$AB228,MATCH(Lists!$B$6,$A$1:$AB$1,0))&amp;""),""),IFERROR(TRIM(INDEX($A228:$AB228,MATCH(Lists!$B$4,$A$1:$AB$1,0))&amp;""),"")))</f>
        <v/>
      </c>
      <c r="AU228" s="31">
        <f>IF(AR228="","",IFERROR(TRIM(INDEX($A228:$AB228,MATCH(Lists!$B$7,$A$1:$AB$1,0))&amp;""),""))</f>
        <v/>
      </c>
      <c r="AV228" s="31">
        <f>IF(AR228="","",IFERROR(TRIM(INDEX($A228:$AB228,MATCH(Lists!$B$9,$A$1:$AB$1,0))&amp;""),""))</f>
        <v/>
      </c>
      <c r="AW228" s="31">
        <f>IF(AR228="","",IFERROR(TRIM(INDEX($A228:$AB228,MATCH(Lists!$B$8,$A$1:$AB$1,0))&amp;""),""))</f>
        <v/>
      </c>
      <c r="AX228" s="23">
        <f>IF(AR228="","",IF(OR(TRIM(AE228&amp;"")&lt;&gt;"",AND(Skills!$B$5&lt;&gt;"",ISNUMBER(SEARCH(Skills!$B$5,AU228)))),1,0))</f>
        <v/>
      </c>
      <c r="AY228" s="23">
        <f>IF(AR228="","",IF(OR(TRIM(AF228&amp;"")&lt;&gt;"",AND(Skills!$B$6&lt;&gt;"",ISNUMBER(SEARCH(Skills!$B$6,AU228)))),1,0))</f>
        <v/>
      </c>
      <c r="AZ228" s="23">
        <f>IF(AR228="","",IF(OR(TRIM(AG228&amp;"")&lt;&gt;"",AND(Skills!$B$7&lt;&gt;"",ISNUMBER(SEARCH(Skills!$B$7,AU228)))),1,0))</f>
        <v/>
      </c>
      <c r="BA228" s="23">
        <f>IF(AR228="","",IF(OR(TRIM(AH228&amp;"")&lt;&gt;"",AND(Skills!$B$8&lt;&gt;"",ISNUMBER(SEARCH(Skills!$B$8,AU228)))),1,0))</f>
        <v/>
      </c>
      <c r="BB228" s="23">
        <f>IF(AR228="","",IF(OR(TRIM(AI228&amp;"")&lt;&gt;"",AND(Skills!$B$9&lt;&gt;"",ISNUMBER(SEARCH(Skills!$B$9,AU228)))),1,0))</f>
        <v/>
      </c>
      <c r="BC228" s="23">
        <f>IF(AR228="","",IF(OR(TRIM(AJ228&amp;"")&lt;&gt;"",AND(Skills!$B$10&lt;&gt;"",ISNUMBER(SEARCH(Skills!$B$10,AU228)))),1,0))</f>
        <v/>
      </c>
      <c r="BD228" s="23">
        <f>IF(AR228="","",IF(OR(TRIM(AK228&amp;"")&lt;&gt;"",AND(Skills!$B$11&lt;&gt;"",ISNUMBER(SEARCH(Skills!$B$11,AU228)))),1,0))</f>
        <v/>
      </c>
      <c r="BE228" s="23">
        <f>IF(AR228="","",IF(OR(TRIM(AL228&amp;"")&lt;&gt;"",AND(Skills!$B$12&lt;&gt;"",ISNUMBER(SEARCH(Skills!$B$12,AU228)))),1,0))</f>
        <v/>
      </c>
      <c r="BF228" s="23">
        <f>IF(AR228="","",IF(OR(TRIM(AM228&amp;"")&lt;&gt;"",AND(Skills!$B$13&lt;&gt;"",ISNUMBER(SEARCH(Skills!$B$13,AU228)))),1,0))</f>
        <v/>
      </c>
      <c r="BG228" s="23">
        <f>IF(AR228="","",IF(OR(TRIM(AN228&amp;"")&lt;&gt;"",AND(Skills!$B$14&lt;&gt;"",ISNUMBER(SEARCH(Skills!$B$14,AU228)))),1,0))</f>
        <v/>
      </c>
      <c r="BH228" s="23">
        <f>IF(AR228="","",IF(OR(TRIM(AO228&amp;"")&lt;&gt;"",AND(Skills!$B$15&lt;&gt;"",ISNUMBER(SEARCH(Skills!$B$15,AU228)))),1,0))</f>
        <v/>
      </c>
      <c r="BI228" s="23">
        <f>IF(AR228="","",IF(OR(TRIM(AP228&amp;"")&lt;&gt;"",AND(Skills!$B$16&lt;&gt;"",ISNUMBER(SEARCH(Skills!$B$16,AU228)))),1,0))</f>
        <v/>
      </c>
      <c r="BJ228" s="23">
        <f>IF(AR228="","",SUMPRODUCT($AX228:$BI228,Skills!$B$20:$M$20))</f>
        <v/>
      </c>
      <c r="BK228" s="23">
        <f>IF(AR228="","",BJ228*100000+(100000-ROW()))</f>
        <v/>
      </c>
      <c r="BL228" s="31">
        <f>IF(AR228="","",IF((IF(AND(AX228=1,Skills!$B$20=1),Skills!$B$5&amp;", ","")&amp;IF(AND(AY228=1,Skills!$C$20=1),Skills!$B$6&amp;", ","")&amp;IF(AND(AZ228=1,Skills!$D$20=1),Skills!$B$7&amp;", ","")&amp;IF(AND(BA228=1,Skills!$E$20=1),Skills!$B$8&amp;", ","")&amp;IF(AND(BB228=1,Skills!$F$20=1),Skills!$B$9&amp;", ","")&amp;IF(AND(BC228=1,Skills!$G$20=1),Skills!$B$10&amp;", ","")&amp;IF(AND(BD228=1,Skills!$H$20=1),Skills!$B$11&amp;", ","")&amp;IF(AND(BE228=1,Skills!$I$20=1),Skills!$B$12&amp;", ","")&amp;IF(AND(BF228=1,Skills!$J$20=1),Skills!$B$13&amp;", ","")&amp;IF(AND(BG228=1,Skills!$K$20=1),Skills!$B$14&amp;", ","")&amp;IF(AND(BH228=1,Skills!$L$20=1),Skills!$B$15&amp;", ","")&amp;IF(AND(BI228=1,Skills!$M$20=1),Skills!$B$16&amp;", ",""))="","",LEFT(IF(AND(AX228=1,Skills!$B$20=1),Skills!$B$5&amp;", ","")&amp;IF(AND(AY228=1,Skills!$C$20=1),Skills!$B$6&amp;", ","")&amp;IF(AND(AZ228=1,Skills!$D$20=1),Skills!$B$7&amp;", ","")&amp;IF(AND(BA228=1,Skills!$E$20=1),Skills!$B$8&amp;", ","")&amp;IF(AND(BB228=1,Skills!$F$20=1),Skills!$B$9&amp;", ","")&amp;IF(AND(BC228=1,Skills!$G$20=1),Skills!$B$10&amp;", ","")&amp;IF(AND(BD228=1,Skills!$H$20=1),Skills!$B$11&amp;", ","")&amp;IF(AND(BE228=1,Skills!$I$20=1),Skills!$B$12&amp;", ","")&amp;IF(AND(BF228=1,Skills!$J$20=1),Skills!$B$13&amp;", ","")&amp;IF(AND(BG228=1,Skills!$K$20=1),Skills!$B$14&amp;", ","")&amp;IF(AND(BH228=1,Skills!$L$20=1),Skills!$B$15&amp;", ","")&amp;IF(AND(BI228=1,Skills!$M$20=1),Skills!$B$16&amp;", ",""),LEN(IF(AND(AX228=1,Skills!$B$20=1),Skills!$B$5&amp;", ","")&amp;IF(AND(AY228=1,Skills!$C$20=1),Skills!$B$6&amp;", ","")&amp;IF(AND(AZ228=1,Skills!$D$20=1),Skills!$B$7&amp;", ","")&amp;IF(AND(BA228=1,Skills!$E$20=1),Skills!$B$8&amp;", ","")&amp;IF(AND(BB228=1,Skills!$F$20=1),Skills!$B$9&amp;", ","")&amp;IF(AND(BC228=1,Skills!$G$20=1),Skills!$B$10&amp;", ","")&amp;IF(AND(BD228=1,Skills!$H$20=1),Skills!$B$11&amp;", ","")&amp;IF(AND(BE228=1,Skills!$I$20=1),Skills!$B$12&amp;", ","")&amp;IF(AND(BF228=1,Skills!$J$20=1),Skills!$B$13&amp;", ","")&amp;IF(AND(BG228=1,Skills!$K$20=1),Skills!$B$14&amp;", ","")&amp;IF(AND(BH228=1,Skills!$L$20=1),Skills!$B$15&amp;", ","")&amp;IF(AND(BI228=1,Skills!$M$20=1),Skills!$B$16&amp;", ",""))-2)))</f>
        <v/>
      </c>
    </row>
    <row r="229">
      <c r="AD229" s="20" t="n"/>
      <c r="AE229" s="20" t="n"/>
      <c r="AF229" s="20" t="n"/>
      <c r="AG229" s="20" t="n"/>
      <c r="AH229" s="20" t="n"/>
      <c r="AI229" s="20" t="n"/>
      <c r="AJ229" s="20" t="n"/>
      <c r="AK229" s="20" t="n"/>
      <c r="AL229" s="20" t="n"/>
      <c r="AM229" s="20" t="n"/>
      <c r="AN229" s="20" t="n"/>
      <c r="AO229" s="20" t="n"/>
      <c r="AP229" s="20" t="n"/>
      <c r="AR229" s="31">
        <f>IF(IFERROR(TRIM(INDEX($A229:$AB229,MATCH(Lists!$B$5,$A$1:$AB$1,0))&amp;""),"")&lt;&gt;"",IFERROR(TRIM(INDEX($A229:$AB229,MATCH(Lists!$B$5,$A$1:$AB$1,0))&amp;""),""),IFERROR(TRIM(INDEX($A229:$AB229,MATCH(Lists!$B$3,$A$1:$AB$1,0))&amp;""),""))</f>
        <v/>
      </c>
      <c r="AS229" s="31">
        <f>IF(AR229="","",IF(IFERROR(TRIM(INDEX($A229:$AB229,MATCH(Lists!$B$5,$A$1:$AB$1,0))&amp;""),"")&lt;&gt;"","Nominated","Applied"))</f>
        <v/>
      </c>
      <c r="AT229" s="31">
        <f>IF(AR229="","",IF(IFERROR(TRIM(INDEX($A229:$AB229,MATCH(Lists!$B$5,$A$1:$AB$1,0))&amp;""),"")&lt;&gt;"",IFERROR(TRIM(INDEX($A229:$AB229,MATCH(Lists!$B$6,$A$1:$AB$1,0))&amp;""),""),IFERROR(TRIM(INDEX($A229:$AB229,MATCH(Lists!$B$4,$A$1:$AB$1,0))&amp;""),"")))</f>
        <v/>
      </c>
      <c r="AU229" s="31">
        <f>IF(AR229="","",IFERROR(TRIM(INDEX($A229:$AB229,MATCH(Lists!$B$7,$A$1:$AB$1,0))&amp;""),""))</f>
        <v/>
      </c>
      <c r="AV229" s="31">
        <f>IF(AR229="","",IFERROR(TRIM(INDEX($A229:$AB229,MATCH(Lists!$B$9,$A$1:$AB$1,0))&amp;""),""))</f>
        <v/>
      </c>
      <c r="AW229" s="31">
        <f>IF(AR229="","",IFERROR(TRIM(INDEX($A229:$AB229,MATCH(Lists!$B$8,$A$1:$AB$1,0))&amp;""),""))</f>
        <v/>
      </c>
      <c r="AX229" s="23">
        <f>IF(AR229="","",IF(OR(TRIM(AE229&amp;"")&lt;&gt;"",AND(Skills!$B$5&lt;&gt;"",ISNUMBER(SEARCH(Skills!$B$5,AU229)))),1,0))</f>
        <v/>
      </c>
      <c r="AY229" s="23">
        <f>IF(AR229="","",IF(OR(TRIM(AF229&amp;"")&lt;&gt;"",AND(Skills!$B$6&lt;&gt;"",ISNUMBER(SEARCH(Skills!$B$6,AU229)))),1,0))</f>
        <v/>
      </c>
      <c r="AZ229" s="23">
        <f>IF(AR229="","",IF(OR(TRIM(AG229&amp;"")&lt;&gt;"",AND(Skills!$B$7&lt;&gt;"",ISNUMBER(SEARCH(Skills!$B$7,AU229)))),1,0))</f>
        <v/>
      </c>
      <c r="BA229" s="23">
        <f>IF(AR229="","",IF(OR(TRIM(AH229&amp;"")&lt;&gt;"",AND(Skills!$B$8&lt;&gt;"",ISNUMBER(SEARCH(Skills!$B$8,AU229)))),1,0))</f>
        <v/>
      </c>
      <c r="BB229" s="23">
        <f>IF(AR229="","",IF(OR(TRIM(AI229&amp;"")&lt;&gt;"",AND(Skills!$B$9&lt;&gt;"",ISNUMBER(SEARCH(Skills!$B$9,AU229)))),1,0))</f>
        <v/>
      </c>
      <c r="BC229" s="23">
        <f>IF(AR229="","",IF(OR(TRIM(AJ229&amp;"")&lt;&gt;"",AND(Skills!$B$10&lt;&gt;"",ISNUMBER(SEARCH(Skills!$B$10,AU229)))),1,0))</f>
        <v/>
      </c>
      <c r="BD229" s="23">
        <f>IF(AR229="","",IF(OR(TRIM(AK229&amp;"")&lt;&gt;"",AND(Skills!$B$11&lt;&gt;"",ISNUMBER(SEARCH(Skills!$B$11,AU229)))),1,0))</f>
        <v/>
      </c>
      <c r="BE229" s="23">
        <f>IF(AR229="","",IF(OR(TRIM(AL229&amp;"")&lt;&gt;"",AND(Skills!$B$12&lt;&gt;"",ISNUMBER(SEARCH(Skills!$B$12,AU229)))),1,0))</f>
        <v/>
      </c>
      <c r="BF229" s="23">
        <f>IF(AR229="","",IF(OR(TRIM(AM229&amp;"")&lt;&gt;"",AND(Skills!$B$13&lt;&gt;"",ISNUMBER(SEARCH(Skills!$B$13,AU229)))),1,0))</f>
        <v/>
      </c>
      <c r="BG229" s="23">
        <f>IF(AR229="","",IF(OR(TRIM(AN229&amp;"")&lt;&gt;"",AND(Skills!$B$14&lt;&gt;"",ISNUMBER(SEARCH(Skills!$B$14,AU229)))),1,0))</f>
        <v/>
      </c>
      <c r="BH229" s="23">
        <f>IF(AR229="","",IF(OR(TRIM(AO229&amp;"")&lt;&gt;"",AND(Skills!$B$15&lt;&gt;"",ISNUMBER(SEARCH(Skills!$B$15,AU229)))),1,0))</f>
        <v/>
      </c>
      <c r="BI229" s="23">
        <f>IF(AR229="","",IF(OR(TRIM(AP229&amp;"")&lt;&gt;"",AND(Skills!$B$16&lt;&gt;"",ISNUMBER(SEARCH(Skills!$B$16,AU229)))),1,0))</f>
        <v/>
      </c>
      <c r="BJ229" s="23">
        <f>IF(AR229="","",SUMPRODUCT($AX229:$BI229,Skills!$B$20:$M$20))</f>
        <v/>
      </c>
      <c r="BK229" s="23">
        <f>IF(AR229="","",BJ229*100000+(100000-ROW()))</f>
        <v/>
      </c>
      <c r="BL229" s="31">
        <f>IF(AR229="","",IF((IF(AND(AX229=1,Skills!$B$20=1),Skills!$B$5&amp;", ","")&amp;IF(AND(AY229=1,Skills!$C$20=1),Skills!$B$6&amp;", ","")&amp;IF(AND(AZ229=1,Skills!$D$20=1),Skills!$B$7&amp;", ","")&amp;IF(AND(BA229=1,Skills!$E$20=1),Skills!$B$8&amp;", ","")&amp;IF(AND(BB229=1,Skills!$F$20=1),Skills!$B$9&amp;", ","")&amp;IF(AND(BC229=1,Skills!$G$20=1),Skills!$B$10&amp;", ","")&amp;IF(AND(BD229=1,Skills!$H$20=1),Skills!$B$11&amp;", ","")&amp;IF(AND(BE229=1,Skills!$I$20=1),Skills!$B$12&amp;", ","")&amp;IF(AND(BF229=1,Skills!$J$20=1),Skills!$B$13&amp;", ","")&amp;IF(AND(BG229=1,Skills!$K$20=1),Skills!$B$14&amp;", ","")&amp;IF(AND(BH229=1,Skills!$L$20=1),Skills!$B$15&amp;", ","")&amp;IF(AND(BI229=1,Skills!$M$20=1),Skills!$B$16&amp;", ",""))="","",LEFT(IF(AND(AX229=1,Skills!$B$20=1),Skills!$B$5&amp;", ","")&amp;IF(AND(AY229=1,Skills!$C$20=1),Skills!$B$6&amp;", ","")&amp;IF(AND(AZ229=1,Skills!$D$20=1),Skills!$B$7&amp;", ","")&amp;IF(AND(BA229=1,Skills!$E$20=1),Skills!$B$8&amp;", ","")&amp;IF(AND(BB229=1,Skills!$F$20=1),Skills!$B$9&amp;", ","")&amp;IF(AND(BC229=1,Skills!$G$20=1),Skills!$B$10&amp;", ","")&amp;IF(AND(BD229=1,Skills!$H$20=1),Skills!$B$11&amp;", ","")&amp;IF(AND(BE229=1,Skills!$I$20=1),Skills!$B$12&amp;", ","")&amp;IF(AND(BF229=1,Skills!$J$20=1),Skills!$B$13&amp;", ","")&amp;IF(AND(BG229=1,Skills!$K$20=1),Skills!$B$14&amp;", ","")&amp;IF(AND(BH229=1,Skills!$L$20=1),Skills!$B$15&amp;", ","")&amp;IF(AND(BI229=1,Skills!$M$20=1),Skills!$B$16&amp;", ",""),LEN(IF(AND(AX229=1,Skills!$B$20=1),Skills!$B$5&amp;", ","")&amp;IF(AND(AY229=1,Skills!$C$20=1),Skills!$B$6&amp;", ","")&amp;IF(AND(AZ229=1,Skills!$D$20=1),Skills!$B$7&amp;", ","")&amp;IF(AND(BA229=1,Skills!$E$20=1),Skills!$B$8&amp;", ","")&amp;IF(AND(BB229=1,Skills!$F$20=1),Skills!$B$9&amp;", ","")&amp;IF(AND(BC229=1,Skills!$G$20=1),Skills!$B$10&amp;", ","")&amp;IF(AND(BD229=1,Skills!$H$20=1),Skills!$B$11&amp;", ","")&amp;IF(AND(BE229=1,Skills!$I$20=1),Skills!$B$12&amp;", ","")&amp;IF(AND(BF229=1,Skills!$J$20=1),Skills!$B$13&amp;", ","")&amp;IF(AND(BG229=1,Skills!$K$20=1),Skills!$B$14&amp;", ","")&amp;IF(AND(BH229=1,Skills!$L$20=1),Skills!$B$15&amp;", ","")&amp;IF(AND(BI229=1,Skills!$M$20=1),Skills!$B$16&amp;", ",""))-2)))</f>
        <v/>
      </c>
    </row>
    <row r="230">
      <c r="AD230" s="20" t="n"/>
      <c r="AE230" s="20" t="n"/>
      <c r="AF230" s="20" t="n"/>
      <c r="AG230" s="20" t="n"/>
      <c r="AH230" s="20" t="n"/>
      <c r="AI230" s="20" t="n"/>
      <c r="AJ230" s="20" t="n"/>
      <c r="AK230" s="20" t="n"/>
      <c r="AL230" s="20" t="n"/>
      <c r="AM230" s="20" t="n"/>
      <c r="AN230" s="20" t="n"/>
      <c r="AO230" s="20" t="n"/>
      <c r="AP230" s="20" t="n"/>
      <c r="AR230" s="31">
        <f>IF(IFERROR(TRIM(INDEX($A230:$AB230,MATCH(Lists!$B$5,$A$1:$AB$1,0))&amp;""),"")&lt;&gt;"",IFERROR(TRIM(INDEX($A230:$AB230,MATCH(Lists!$B$5,$A$1:$AB$1,0))&amp;""),""),IFERROR(TRIM(INDEX($A230:$AB230,MATCH(Lists!$B$3,$A$1:$AB$1,0))&amp;""),""))</f>
        <v/>
      </c>
      <c r="AS230" s="31">
        <f>IF(AR230="","",IF(IFERROR(TRIM(INDEX($A230:$AB230,MATCH(Lists!$B$5,$A$1:$AB$1,0))&amp;""),"")&lt;&gt;"","Nominated","Applied"))</f>
        <v/>
      </c>
      <c r="AT230" s="31">
        <f>IF(AR230="","",IF(IFERROR(TRIM(INDEX($A230:$AB230,MATCH(Lists!$B$5,$A$1:$AB$1,0))&amp;""),"")&lt;&gt;"",IFERROR(TRIM(INDEX($A230:$AB230,MATCH(Lists!$B$6,$A$1:$AB$1,0))&amp;""),""),IFERROR(TRIM(INDEX($A230:$AB230,MATCH(Lists!$B$4,$A$1:$AB$1,0))&amp;""),"")))</f>
        <v/>
      </c>
      <c r="AU230" s="31">
        <f>IF(AR230="","",IFERROR(TRIM(INDEX($A230:$AB230,MATCH(Lists!$B$7,$A$1:$AB$1,0))&amp;""),""))</f>
        <v/>
      </c>
      <c r="AV230" s="31">
        <f>IF(AR230="","",IFERROR(TRIM(INDEX($A230:$AB230,MATCH(Lists!$B$9,$A$1:$AB$1,0))&amp;""),""))</f>
        <v/>
      </c>
      <c r="AW230" s="31">
        <f>IF(AR230="","",IFERROR(TRIM(INDEX($A230:$AB230,MATCH(Lists!$B$8,$A$1:$AB$1,0))&amp;""),""))</f>
        <v/>
      </c>
      <c r="AX230" s="23">
        <f>IF(AR230="","",IF(OR(TRIM(AE230&amp;"")&lt;&gt;"",AND(Skills!$B$5&lt;&gt;"",ISNUMBER(SEARCH(Skills!$B$5,AU230)))),1,0))</f>
        <v/>
      </c>
      <c r="AY230" s="23">
        <f>IF(AR230="","",IF(OR(TRIM(AF230&amp;"")&lt;&gt;"",AND(Skills!$B$6&lt;&gt;"",ISNUMBER(SEARCH(Skills!$B$6,AU230)))),1,0))</f>
        <v/>
      </c>
      <c r="AZ230" s="23">
        <f>IF(AR230="","",IF(OR(TRIM(AG230&amp;"")&lt;&gt;"",AND(Skills!$B$7&lt;&gt;"",ISNUMBER(SEARCH(Skills!$B$7,AU230)))),1,0))</f>
        <v/>
      </c>
      <c r="BA230" s="23">
        <f>IF(AR230="","",IF(OR(TRIM(AH230&amp;"")&lt;&gt;"",AND(Skills!$B$8&lt;&gt;"",ISNUMBER(SEARCH(Skills!$B$8,AU230)))),1,0))</f>
        <v/>
      </c>
      <c r="BB230" s="23">
        <f>IF(AR230="","",IF(OR(TRIM(AI230&amp;"")&lt;&gt;"",AND(Skills!$B$9&lt;&gt;"",ISNUMBER(SEARCH(Skills!$B$9,AU230)))),1,0))</f>
        <v/>
      </c>
      <c r="BC230" s="23">
        <f>IF(AR230="","",IF(OR(TRIM(AJ230&amp;"")&lt;&gt;"",AND(Skills!$B$10&lt;&gt;"",ISNUMBER(SEARCH(Skills!$B$10,AU230)))),1,0))</f>
        <v/>
      </c>
      <c r="BD230" s="23">
        <f>IF(AR230="","",IF(OR(TRIM(AK230&amp;"")&lt;&gt;"",AND(Skills!$B$11&lt;&gt;"",ISNUMBER(SEARCH(Skills!$B$11,AU230)))),1,0))</f>
        <v/>
      </c>
      <c r="BE230" s="23">
        <f>IF(AR230="","",IF(OR(TRIM(AL230&amp;"")&lt;&gt;"",AND(Skills!$B$12&lt;&gt;"",ISNUMBER(SEARCH(Skills!$B$12,AU230)))),1,0))</f>
        <v/>
      </c>
      <c r="BF230" s="23">
        <f>IF(AR230="","",IF(OR(TRIM(AM230&amp;"")&lt;&gt;"",AND(Skills!$B$13&lt;&gt;"",ISNUMBER(SEARCH(Skills!$B$13,AU230)))),1,0))</f>
        <v/>
      </c>
      <c r="BG230" s="23">
        <f>IF(AR230="","",IF(OR(TRIM(AN230&amp;"")&lt;&gt;"",AND(Skills!$B$14&lt;&gt;"",ISNUMBER(SEARCH(Skills!$B$14,AU230)))),1,0))</f>
        <v/>
      </c>
      <c r="BH230" s="23">
        <f>IF(AR230="","",IF(OR(TRIM(AO230&amp;"")&lt;&gt;"",AND(Skills!$B$15&lt;&gt;"",ISNUMBER(SEARCH(Skills!$B$15,AU230)))),1,0))</f>
        <v/>
      </c>
      <c r="BI230" s="23">
        <f>IF(AR230="","",IF(OR(TRIM(AP230&amp;"")&lt;&gt;"",AND(Skills!$B$16&lt;&gt;"",ISNUMBER(SEARCH(Skills!$B$16,AU230)))),1,0))</f>
        <v/>
      </c>
      <c r="BJ230" s="23">
        <f>IF(AR230="","",SUMPRODUCT($AX230:$BI230,Skills!$B$20:$M$20))</f>
        <v/>
      </c>
      <c r="BK230" s="23">
        <f>IF(AR230="","",BJ230*100000+(100000-ROW()))</f>
        <v/>
      </c>
      <c r="BL230" s="31">
        <f>IF(AR230="","",IF((IF(AND(AX230=1,Skills!$B$20=1),Skills!$B$5&amp;", ","")&amp;IF(AND(AY230=1,Skills!$C$20=1),Skills!$B$6&amp;", ","")&amp;IF(AND(AZ230=1,Skills!$D$20=1),Skills!$B$7&amp;", ","")&amp;IF(AND(BA230=1,Skills!$E$20=1),Skills!$B$8&amp;", ","")&amp;IF(AND(BB230=1,Skills!$F$20=1),Skills!$B$9&amp;", ","")&amp;IF(AND(BC230=1,Skills!$G$20=1),Skills!$B$10&amp;", ","")&amp;IF(AND(BD230=1,Skills!$H$20=1),Skills!$B$11&amp;", ","")&amp;IF(AND(BE230=1,Skills!$I$20=1),Skills!$B$12&amp;", ","")&amp;IF(AND(BF230=1,Skills!$J$20=1),Skills!$B$13&amp;", ","")&amp;IF(AND(BG230=1,Skills!$K$20=1),Skills!$B$14&amp;", ","")&amp;IF(AND(BH230=1,Skills!$L$20=1),Skills!$B$15&amp;", ","")&amp;IF(AND(BI230=1,Skills!$M$20=1),Skills!$B$16&amp;", ",""))="","",LEFT(IF(AND(AX230=1,Skills!$B$20=1),Skills!$B$5&amp;", ","")&amp;IF(AND(AY230=1,Skills!$C$20=1),Skills!$B$6&amp;", ","")&amp;IF(AND(AZ230=1,Skills!$D$20=1),Skills!$B$7&amp;", ","")&amp;IF(AND(BA230=1,Skills!$E$20=1),Skills!$B$8&amp;", ","")&amp;IF(AND(BB230=1,Skills!$F$20=1),Skills!$B$9&amp;", ","")&amp;IF(AND(BC230=1,Skills!$G$20=1),Skills!$B$10&amp;", ","")&amp;IF(AND(BD230=1,Skills!$H$20=1),Skills!$B$11&amp;", ","")&amp;IF(AND(BE230=1,Skills!$I$20=1),Skills!$B$12&amp;", ","")&amp;IF(AND(BF230=1,Skills!$J$20=1),Skills!$B$13&amp;", ","")&amp;IF(AND(BG230=1,Skills!$K$20=1),Skills!$B$14&amp;", ","")&amp;IF(AND(BH230=1,Skills!$L$20=1),Skills!$B$15&amp;", ","")&amp;IF(AND(BI230=1,Skills!$M$20=1),Skills!$B$16&amp;", ",""),LEN(IF(AND(AX230=1,Skills!$B$20=1),Skills!$B$5&amp;", ","")&amp;IF(AND(AY230=1,Skills!$C$20=1),Skills!$B$6&amp;", ","")&amp;IF(AND(AZ230=1,Skills!$D$20=1),Skills!$B$7&amp;", ","")&amp;IF(AND(BA230=1,Skills!$E$20=1),Skills!$B$8&amp;", ","")&amp;IF(AND(BB230=1,Skills!$F$20=1),Skills!$B$9&amp;", ","")&amp;IF(AND(BC230=1,Skills!$G$20=1),Skills!$B$10&amp;", ","")&amp;IF(AND(BD230=1,Skills!$H$20=1),Skills!$B$11&amp;", ","")&amp;IF(AND(BE230=1,Skills!$I$20=1),Skills!$B$12&amp;", ","")&amp;IF(AND(BF230=1,Skills!$J$20=1),Skills!$B$13&amp;", ","")&amp;IF(AND(BG230=1,Skills!$K$20=1),Skills!$B$14&amp;", ","")&amp;IF(AND(BH230=1,Skills!$L$20=1),Skills!$B$15&amp;", ","")&amp;IF(AND(BI230=1,Skills!$M$20=1),Skills!$B$16&amp;", ",""))-2)))</f>
        <v/>
      </c>
    </row>
    <row r="231">
      <c r="AD231" s="20" t="n"/>
      <c r="AE231" s="20" t="n"/>
      <c r="AF231" s="20" t="n"/>
      <c r="AG231" s="20" t="n"/>
      <c r="AH231" s="20" t="n"/>
      <c r="AI231" s="20" t="n"/>
      <c r="AJ231" s="20" t="n"/>
      <c r="AK231" s="20" t="n"/>
      <c r="AL231" s="20" t="n"/>
      <c r="AM231" s="20" t="n"/>
      <c r="AN231" s="20" t="n"/>
      <c r="AO231" s="20" t="n"/>
      <c r="AP231" s="20" t="n"/>
      <c r="AR231" s="31">
        <f>IF(IFERROR(TRIM(INDEX($A231:$AB231,MATCH(Lists!$B$5,$A$1:$AB$1,0))&amp;""),"")&lt;&gt;"",IFERROR(TRIM(INDEX($A231:$AB231,MATCH(Lists!$B$5,$A$1:$AB$1,0))&amp;""),""),IFERROR(TRIM(INDEX($A231:$AB231,MATCH(Lists!$B$3,$A$1:$AB$1,0))&amp;""),""))</f>
        <v/>
      </c>
      <c r="AS231" s="31">
        <f>IF(AR231="","",IF(IFERROR(TRIM(INDEX($A231:$AB231,MATCH(Lists!$B$5,$A$1:$AB$1,0))&amp;""),"")&lt;&gt;"","Nominated","Applied"))</f>
        <v/>
      </c>
      <c r="AT231" s="31">
        <f>IF(AR231="","",IF(IFERROR(TRIM(INDEX($A231:$AB231,MATCH(Lists!$B$5,$A$1:$AB$1,0))&amp;""),"")&lt;&gt;"",IFERROR(TRIM(INDEX($A231:$AB231,MATCH(Lists!$B$6,$A$1:$AB$1,0))&amp;""),""),IFERROR(TRIM(INDEX($A231:$AB231,MATCH(Lists!$B$4,$A$1:$AB$1,0))&amp;""),"")))</f>
        <v/>
      </c>
      <c r="AU231" s="31">
        <f>IF(AR231="","",IFERROR(TRIM(INDEX($A231:$AB231,MATCH(Lists!$B$7,$A$1:$AB$1,0))&amp;""),""))</f>
        <v/>
      </c>
      <c r="AV231" s="31">
        <f>IF(AR231="","",IFERROR(TRIM(INDEX($A231:$AB231,MATCH(Lists!$B$9,$A$1:$AB$1,0))&amp;""),""))</f>
        <v/>
      </c>
      <c r="AW231" s="31">
        <f>IF(AR231="","",IFERROR(TRIM(INDEX($A231:$AB231,MATCH(Lists!$B$8,$A$1:$AB$1,0))&amp;""),""))</f>
        <v/>
      </c>
      <c r="AX231" s="23">
        <f>IF(AR231="","",IF(OR(TRIM(AE231&amp;"")&lt;&gt;"",AND(Skills!$B$5&lt;&gt;"",ISNUMBER(SEARCH(Skills!$B$5,AU231)))),1,0))</f>
        <v/>
      </c>
      <c r="AY231" s="23">
        <f>IF(AR231="","",IF(OR(TRIM(AF231&amp;"")&lt;&gt;"",AND(Skills!$B$6&lt;&gt;"",ISNUMBER(SEARCH(Skills!$B$6,AU231)))),1,0))</f>
        <v/>
      </c>
      <c r="AZ231" s="23">
        <f>IF(AR231="","",IF(OR(TRIM(AG231&amp;"")&lt;&gt;"",AND(Skills!$B$7&lt;&gt;"",ISNUMBER(SEARCH(Skills!$B$7,AU231)))),1,0))</f>
        <v/>
      </c>
      <c r="BA231" s="23">
        <f>IF(AR231="","",IF(OR(TRIM(AH231&amp;"")&lt;&gt;"",AND(Skills!$B$8&lt;&gt;"",ISNUMBER(SEARCH(Skills!$B$8,AU231)))),1,0))</f>
        <v/>
      </c>
      <c r="BB231" s="23">
        <f>IF(AR231="","",IF(OR(TRIM(AI231&amp;"")&lt;&gt;"",AND(Skills!$B$9&lt;&gt;"",ISNUMBER(SEARCH(Skills!$B$9,AU231)))),1,0))</f>
        <v/>
      </c>
      <c r="BC231" s="23">
        <f>IF(AR231="","",IF(OR(TRIM(AJ231&amp;"")&lt;&gt;"",AND(Skills!$B$10&lt;&gt;"",ISNUMBER(SEARCH(Skills!$B$10,AU231)))),1,0))</f>
        <v/>
      </c>
      <c r="BD231" s="23">
        <f>IF(AR231="","",IF(OR(TRIM(AK231&amp;"")&lt;&gt;"",AND(Skills!$B$11&lt;&gt;"",ISNUMBER(SEARCH(Skills!$B$11,AU231)))),1,0))</f>
        <v/>
      </c>
      <c r="BE231" s="23">
        <f>IF(AR231="","",IF(OR(TRIM(AL231&amp;"")&lt;&gt;"",AND(Skills!$B$12&lt;&gt;"",ISNUMBER(SEARCH(Skills!$B$12,AU231)))),1,0))</f>
        <v/>
      </c>
      <c r="BF231" s="23">
        <f>IF(AR231="","",IF(OR(TRIM(AM231&amp;"")&lt;&gt;"",AND(Skills!$B$13&lt;&gt;"",ISNUMBER(SEARCH(Skills!$B$13,AU231)))),1,0))</f>
        <v/>
      </c>
      <c r="BG231" s="23">
        <f>IF(AR231="","",IF(OR(TRIM(AN231&amp;"")&lt;&gt;"",AND(Skills!$B$14&lt;&gt;"",ISNUMBER(SEARCH(Skills!$B$14,AU231)))),1,0))</f>
        <v/>
      </c>
      <c r="BH231" s="23">
        <f>IF(AR231="","",IF(OR(TRIM(AO231&amp;"")&lt;&gt;"",AND(Skills!$B$15&lt;&gt;"",ISNUMBER(SEARCH(Skills!$B$15,AU231)))),1,0))</f>
        <v/>
      </c>
      <c r="BI231" s="23">
        <f>IF(AR231="","",IF(OR(TRIM(AP231&amp;"")&lt;&gt;"",AND(Skills!$B$16&lt;&gt;"",ISNUMBER(SEARCH(Skills!$B$16,AU231)))),1,0))</f>
        <v/>
      </c>
      <c r="BJ231" s="23">
        <f>IF(AR231="","",SUMPRODUCT($AX231:$BI231,Skills!$B$20:$M$20))</f>
        <v/>
      </c>
      <c r="BK231" s="23">
        <f>IF(AR231="","",BJ231*100000+(100000-ROW()))</f>
        <v/>
      </c>
      <c r="BL231" s="31">
        <f>IF(AR231="","",IF((IF(AND(AX231=1,Skills!$B$20=1),Skills!$B$5&amp;", ","")&amp;IF(AND(AY231=1,Skills!$C$20=1),Skills!$B$6&amp;", ","")&amp;IF(AND(AZ231=1,Skills!$D$20=1),Skills!$B$7&amp;", ","")&amp;IF(AND(BA231=1,Skills!$E$20=1),Skills!$B$8&amp;", ","")&amp;IF(AND(BB231=1,Skills!$F$20=1),Skills!$B$9&amp;", ","")&amp;IF(AND(BC231=1,Skills!$G$20=1),Skills!$B$10&amp;", ","")&amp;IF(AND(BD231=1,Skills!$H$20=1),Skills!$B$11&amp;", ","")&amp;IF(AND(BE231=1,Skills!$I$20=1),Skills!$B$12&amp;", ","")&amp;IF(AND(BF231=1,Skills!$J$20=1),Skills!$B$13&amp;", ","")&amp;IF(AND(BG231=1,Skills!$K$20=1),Skills!$B$14&amp;", ","")&amp;IF(AND(BH231=1,Skills!$L$20=1),Skills!$B$15&amp;", ","")&amp;IF(AND(BI231=1,Skills!$M$20=1),Skills!$B$16&amp;", ",""))="","",LEFT(IF(AND(AX231=1,Skills!$B$20=1),Skills!$B$5&amp;", ","")&amp;IF(AND(AY231=1,Skills!$C$20=1),Skills!$B$6&amp;", ","")&amp;IF(AND(AZ231=1,Skills!$D$20=1),Skills!$B$7&amp;", ","")&amp;IF(AND(BA231=1,Skills!$E$20=1),Skills!$B$8&amp;", ","")&amp;IF(AND(BB231=1,Skills!$F$20=1),Skills!$B$9&amp;", ","")&amp;IF(AND(BC231=1,Skills!$G$20=1),Skills!$B$10&amp;", ","")&amp;IF(AND(BD231=1,Skills!$H$20=1),Skills!$B$11&amp;", ","")&amp;IF(AND(BE231=1,Skills!$I$20=1),Skills!$B$12&amp;", ","")&amp;IF(AND(BF231=1,Skills!$J$20=1),Skills!$B$13&amp;", ","")&amp;IF(AND(BG231=1,Skills!$K$20=1),Skills!$B$14&amp;", ","")&amp;IF(AND(BH231=1,Skills!$L$20=1),Skills!$B$15&amp;", ","")&amp;IF(AND(BI231=1,Skills!$M$20=1),Skills!$B$16&amp;", ",""),LEN(IF(AND(AX231=1,Skills!$B$20=1),Skills!$B$5&amp;", ","")&amp;IF(AND(AY231=1,Skills!$C$20=1),Skills!$B$6&amp;", ","")&amp;IF(AND(AZ231=1,Skills!$D$20=1),Skills!$B$7&amp;", ","")&amp;IF(AND(BA231=1,Skills!$E$20=1),Skills!$B$8&amp;", ","")&amp;IF(AND(BB231=1,Skills!$F$20=1),Skills!$B$9&amp;", ","")&amp;IF(AND(BC231=1,Skills!$G$20=1),Skills!$B$10&amp;", ","")&amp;IF(AND(BD231=1,Skills!$H$20=1),Skills!$B$11&amp;", ","")&amp;IF(AND(BE231=1,Skills!$I$20=1),Skills!$B$12&amp;", ","")&amp;IF(AND(BF231=1,Skills!$J$20=1),Skills!$B$13&amp;", ","")&amp;IF(AND(BG231=1,Skills!$K$20=1),Skills!$B$14&amp;", ","")&amp;IF(AND(BH231=1,Skills!$L$20=1),Skills!$B$15&amp;", ","")&amp;IF(AND(BI231=1,Skills!$M$20=1),Skills!$B$16&amp;", ",""))-2)))</f>
        <v/>
      </c>
    </row>
    <row r="232">
      <c r="AD232" s="20" t="n"/>
      <c r="AE232" s="20" t="n"/>
      <c r="AF232" s="20" t="n"/>
      <c r="AG232" s="20" t="n"/>
      <c r="AH232" s="20" t="n"/>
      <c r="AI232" s="20" t="n"/>
      <c r="AJ232" s="20" t="n"/>
      <c r="AK232" s="20" t="n"/>
      <c r="AL232" s="20" t="n"/>
      <c r="AM232" s="20" t="n"/>
      <c r="AN232" s="20" t="n"/>
      <c r="AO232" s="20" t="n"/>
      <c r="AP232" s="20" t="n"/>
      <c r="AR232" s="31">
        <f>IF(IFERROR(TRIM(INDEX($A232:$AB232,MATCH(Lists!$B$5,$A$1:$AB$1,0))&amp;""),"")&lt;&gt;"",IFERROR(TRIM(INDEX($A232:$AB232,MATCH(Lists!$B$5,$A$1:$AB$1,0))&amp;""),""),IFERROR(TRIM(INDEX($A232:$AB232,MATCH(Lists!$B$3,$A$1:$AB$1,0))&amp;""),""))</f>
        <v/>
      </c>
      <c r="AS232" s="31">
        <f>IF(AR232="","",IF(IFERROR(TRIM(INDEX($A232:$AB232,MATCH(Lists!$B$5,$A$1:$AB$1,0))&amp;""),"")&lt;&gt;"","Nominated","Applied"))</f>
        <v/>
      </c>
      <c r="AT232" s="31">
        <f>IF(AR232="","",IF(IFERROR(TRIM(INDEX($A232:$AB232,MATCH(Lists!$B$5,$A$1:$AB$1,0))&amp;""),"")&lt;&gt;"",IFERROR(TRIM(INDEX($A232:$AB232,MATCH(Lists!$B$6,$A$1:$AB$1,0))&amp;""),""),IFERROR(TRIM(INDEX($A232:$AB232,MATCH(Lists!$B$4,$A$1:$AB$1,0))&amp;""),"")))</f>
        <v/>
      </c>
      <c r="AU232" s="31">
        <f>IF(AR232="","",IFERROR(TRIM(INDEX($A232:$AB232,MATCH(Lists!$B$7,$A$1:$AB$1,0))&amp;""),""))</f>
        <v/>
      </c>
      <c r="AV232" s="31">
        <f>IF(AR232="","",IFERROR(TRIM(INDEX($A232:$AB232,MATCH(Lists!$B$9,$A$1:$AB$1,0))&amp;""),""))</f>
        <v/>
      </c>
      <c r="AW232" s="31">
        <f>IF(AR232="","",IFERROR(TRIM(INDEX($A232:$AB232,MATCH(Lists!$B$8,$A$1:$AB$1,0))&amp;""),""))</f>
        <v/>
      </c>
      <c r="AX232" s="23">
        <f>IF(AR232="","",IF(OR(TRIM(AE232&amp;"")&lt;&gt;"",AND(Skills!$B$5&lt;&gt;"",ISNUMBER(SEARCH(Skills!$B$5,AU232)))),1,0))</f>
        <v/>
      </c>
      <c r="AY232" s="23">
        <f>IF(AR232="","",IF(OR(TRIM(AF232&amp;"")&lt;&gt;"",AND(Skills!$B$6&lt;&gt;"",ISNUMBER(SEARCH(Skills!$B$6,AU232)))),1,0))</f>
        <v/>
      </c>
      <c r="AZ232" s="23">
        <f>IF(AR232="","",IF(OR(TRIM(AG232&amp;"")&lt;&gt;"",AND(Skills!$B$7&lt;&gt;"",ISNUMBER(SEARCH(Skills!$B$7,AU232)))),1,0))</f>
        <v/>
      </c>
      <c r="BA232" s="23">
        <f>IF(AR232="","",IF(OR(TRIM(AH232&amp;"")&lt;&gt;"",AND(Skills!$B$8&lt;&gt;"",ISNUMBER(SEARCH(Skills!$B$8,AU232)))),1,0))</f>
        <v/>
      </c>
      <c r="BB232" s="23">
        <f>IF(AR232="","",IF(OR(TRIM(AI232&amp;"")&lt;&gt;"",AND(Skills!$B$9&lt;&gt;"",ISNUMBER(SEARCH(Skills!$B$9,AU232)))),1,0))</f>
        <v/>
      </c>
      <c r="BC232" s="23">
        <f>IF(AR232="","",IF(OR(TRIM(AJ232&amp;"")&lt;&gt;"",AND(Skills!$B$10&lt;&gt;"",ISNUMBER(SEARCH(Skills!$B$10,AU232)))),1,0))</f>
        <v/>
      </c>
      <c r="BD232" s="23">
        <f>IF(AR232="","",IF(OR(TRIM(AK232&amp;"")&lt;&gt;"",AND(Skills!$B$11&lt;&gt;"",ISNUMBER(SEARCH(Skills!$B$11,AU232)))),1,0))</f>
        <v/>
      </c>
      <c r="BE232" s="23">
        <f>IF(AR232="","",IF(OR(TRIM(AL232&amp;"")&lt;&gt;"",AND(Skills!$B$12&lt;&gt;"",ISNUMBER(SEARCH(Skills!$B$12,AU232)))),1,0))</f>
        <v/>
      </c>
      <c r="BF232" s="23">
        <f>IF(AR232="","",IF(OR(TRIM(AM232&amp;"")&lt;&gt;"",AND(Skills!$B$13&lt;&gt;"",ISNUMBER(SEARCH(Skills!$B$13,AU232)))),1,0))</f>
        <v/>
      </c>
      <c r="BG232" s="23">
        <f>IF(AR232="","",IF(OR(TRIM(AN232&amp;"")&lt;&gt;"",AND(Skills!$B$14&lt;&gt;"",ISNUMBER(SEARCH(Skills!$B$14,AU232)))),1,0))</f>
        <v/>
      </c>
      <c r="BH232" s="23">
        <f>IF(AR232="","",IF(OR(TRIM(AO232&amp;"")&lt;&gt;"",AND(Skills!$B$15&lt;&gt;"",ISNUMBER(SEARCH(Skills!$B$15,AU232)))),1,0))</f>
        <v/>
      </c>
      <c r="BI232" s="23">
        <f>IF(AR232="","",IF(OR(TRIM(AP232&amp;"")&lt;&gt;"",AND(Skills!$B$16&lt;&gt;"",ISNUMBER(SEARCH(Skills!$B$16,AU232)))),1,0))</f>
        <v/>
      </c>
      <c r="BJ232" s="23">
        <f>IF(AR232="","",SUMPRODUCT($AX232:$BI232,Skills!$B$20:$M$20))</f>
        <v/>
      </c>
      <c r="BK232" s="23">
        <f>IF(AR232="","",BJ232*100000+(100000-ROW()))</f>
        <v/>
      </c>
      <c r="BL232" s="31">
        <f>IF(AR232="","",IF((IF(AND(AX232=1,Skills!$B$20=1),Skills!$B$5&amp;", ","")&amp;IF(AND(AY232=1,Skills!$C$20=1),Skills!$B$6&amp;", ","")&amp;IF(AND(AZ232=1,Skills!$D$20=1),Skills!$B$7&amp;", ","")&amp;IF(AND(BA232=1,Skills!$E$20=1),Skills!$B$8&amp;", ","")&amp;IF(AND(BB232=1,Skills!$F$20=1),Skills!$B$9&amp;", ","")&amp;IF(AND(BC232=1,Skills!$G$20=1),Skills!$B$10&amp;", ","")&amp;IF(AND(BD232=1,Skills!$H$20=1),Skills!$B$11&amp;", ","")&amp;IF(AND(BE232=1,Skills!$I$20=1),Skills!$B$12&amp;", ","")&amp;IF(AND(BF232=1,Skills!$J$20=1),Skills!$B$13&amp;", ","")&amp;IF(AND(BG232=1,Skills!$K$20=1),Skills!$B$14&amp;", ","")&amp;IF(AND(BH232=1,Skills!$L$20=1),Skills!$B$15&amp;", ","")&amp;IF(AND(BI232=1,Skills!$M$20=1),Skills!$B$16&amp;", ",""))="","",LEFT(IF(AND(AX232=1,Skills!$B$20=1),Skills!$B$5&amp;", ","")&amp;IF(AND(AY232=1,Skills!$C$20=1),Skills!$B$6&amp;", ","")&amp;IF(AND(AZ232=1,Skills!$D$20=1),Skills!$B$7&amp;", ","")&amp;IF(AND(BA232=1,Skills!$E$20=1),Skills!$B$8&amp;", ","")&amp;IF(AND(BB232=1,Skills!$F$20=1),Skills!$B$9&amp;", ","")&amp;IF(AND(BC232=1,Skills!$G$20=1),Skills!$B$10&amp;", ","")&amp;IF(AND(BD232=1,Skills!$H$20=1),Skills!$B$11&amp;", ","")&amp;IF(AND(BE232=1,Skills!$I$20=1),Skills!$B$12&amp;", ","")&amp;IF(AND(BF232=1,Skills!$J$20=1),Skills!$B$13&amp;", ","")&amp;IF(AND(BG232=1,Skills!$K$20=1),Skills!$B$14&amp;", ","")&amp;IF(AND(BH232=1,Skills!$L$20=1),Skills!$B$15&amp;", ","")&amp;IF(AND(BI232=1,Skills!$M$20=1),Skills!$B$16&amp;", ",""),LEN(IF(AND(AX232=1,Skills!$B$20=1),Skills!$B$5&amp;", ","")&amp;IF(AND(AY232=1,Skills!$C$20=1),Skills!$B$6&amp;", ","")&amp;IF(AND(AZ232=1,Skills!$D$20=1),Skills!$B$7&amp;", ","")&amp;IF(AND(BA232=1,Skills!$E$20=1),Skills!$B$8&amp;", ","")&amp;IF(AND(BB232=1,Skills!$F$20=1),Skills!$B$9&amp;", ","")&amp;IF(AND(BC232=1,Skills!$G$20=1),Skills!$B$10&amp;", ","")&amp;IF(AND(BD232=1,Skills!$H$20=1),Skills!$B$11&amp;", ","")&amp;IF(AND(BE232=1,Skills!$I$20=1),Skills!$B$12&amp;", ","")&amp;IF(AND(BF232=1,Skills!$J$20=1),Skills!$B$13&amp;", ","")&amp;IF(AND(BG232=1,Skills!$K$20=1),Skills!$B$14&amp;", ","")&amp;IF(AND(BH232=1,Skills!$L$20=1),Skills!$B$15&amp;", ","")&amp;IF(AND(BI232=1,Skills!$M$20=1),Skills!$B$16&amp;", ",""))-2)))</f>
        <v/>
      </c>
    </row>
    <row r="233">
      <c r="AD233" s="20" t="n"/>
      <c r="AE233" s="20" t="n"/>
      <c r="AF233" s="20" t="n"/>
      <c r="AG233" s="20" t="n"/>
      <c r="AH233" s="20" t="n"/>
      <c r="AI233" s="20" t="n"/>
      <c r="AJ233" s="20" t="n"/>
      <c r="AK233" s="20" t="n"/>
      <c r="AL233" s="20" t="n"/>
      <c r="AM233" s="20" t="n"/>
      <c r="AN233" s="20" t="n"/>
      <c r="AO233" s="20" t="n"/>
      <c r="AP233" s="20" t="n"/>
      <c r="AR233" s="31">
        <f>IF(IFERROR(TRIM(INDEX($A233:$AB233,MATCH(Lists!$B$5,$A$1:$AB$1,0))&amp;""),"")&lt;&gt;"",IFERROR(TRIM(INDEX($A233:$AB233,MATCH(Lists!$B$5,$A$1:$AB$1,0))&amp;""),""),IFERROR(TRIM(INDEX($A233:$AB233,MATCH(Lists!$B$3,$A$1:$AB$1,0))&amp;""),""))</f>
        <v/>
      </c>
      <c r="AS233" s="31">
        <f>IF(AR233="","",IF(IFERROR(TRIM(INDEX($A233:$AB233,MATCH(Lists!$B$5,$A$1:$AB$1,0))&amp;""),"")&lt;&gt;"","Nominated","Applied"))</f>
        <v/>
      </c>
      <c r="AT233" s="31">
        <f>IF(AR233="","",IF(IFERROR(TRIM(INDEX($A233:$AB233,MATCH(Lists!$B$5,$A$1:$AB$1,0))&amp;""),"")&lt;&gt;"",IFERROR(TRIM(INDEX($A233:$AB233,MATCH(Lists!$B$6,$A$1:$AB$1,0))&amp;""),""),IFERROR(TRIM(INDEX($A233:$AB233,MATCH(Lists!$B$4,$A$1:$AB$1,0))&amp;""),"")))</f>
        <v/>
      </c>
      <c r="AU233" s="31">
        <f>IF(AR233="","",IFERROR(TRIM(INDEX($A233:$AB233,MATCH(Lists!$B$7,$A$1:$AB$1,0))&amp;""),""))</f>
        <v/>
      </c>
      <c r="AV233" s="31">
        <f>IF(AR233="","",IFERROR(TRIM(INDEX($A233:$AB233,MATCH(Lists!$B$9,$A$1:$AB$1,0))&amp;""),""))</f>
        <v/>
      </c>
      <c r="AW233" s="31">
        <f>IF(AR233="","",IFERROR(TRIM(INDEX($A233:$AB233,MATCH(Lists!$B$8,$A$1:$AB$1,0))&amp;""),""))</f>
        <v/>
      </c>
      <c r="AX233" s="23">
        <f>IF(AR233="","",IF(OR(TRIM(AE233&amp;"")&lt;&gt;"",AND(Skills!$B$5&lt;&gt;"",ISNUMBER(SEARCH(Skills!$B$5,AU233)))),1,0))</f>
        <v/>
      </c>
      <c r="AY233" s="23">
        <f>IF(AR233="","",IF(OR(TRIM(AF233&amp;"")&lt;&gt;"",AND(Skills!$B$6&lt;&gt;"",ISNUMBER(SEARCH(Skills!$B$6,AU233)))),1,0))</f>
        <v/>
      </c>
      <c r="AZ233" s="23">
        <f>IF(AR233="","",IF(OR(TRIM(AG233&amp;"")&lt;&gt;"",AND(Skills!$B$7&lt;&gt;"",ISNUMBER(SEARCH(Skills!$B$7,AU233)))),1,0))</f>
        <v/>
      </c>
      <c r="BA233" s="23">
        <f>IF(AR233="","",IF(OR(TRIM(AH233&amp;"")&lt;&gt;"",AND(Skills!$B$8&lt;&gt;"",ISNUMBER(SEARCH(Skills!$B$8,AU233)))),1,0))</f>
        <v/>
      </c>
      <c r="BB233" s="23">
        <f>IF(AR233="","",IF(OR(TRIM(AI233&amp;"")&lt;&gt;"",AND(Skills!$B$9&lt;&gt;"",ISNUMBER(SEARCH(Skills!$B$9,AU233)))),1,0))</f>
        <v/>
      </c>
      <c r="BC233" s="23">
        <f>IF(AR233="","",IF(OR(TRIM(AJ233&amp;"")&lt;&gt;"",AND(Skills!$B$10&lt;&gt;"",ISNUMBER(SEARCH(Skills!$B$10,AU233)))),1,0))</f>
        <v/>
      </c>
      <c r="BD233" s="23">
        <f>IF(AR233="","",IF(OR(TRIM(AK233&amp;"")&lt;&gt;"",AND(Skills!$B$11&lt;&gt;"",ISNUMBER(SEARCH(Skills!$B$11,AU233)))),1,0))</f>
        <v/>
      </c>
      <c r="BE233" s="23">
        <f>IF(AR233="","",IF(OR(TRIM(AL233&amp;"")&lt;&gt;"",AND(Skills!$B$12&lt;&gt;"",ISNUMBER(SEARCH(Skills!$B$12,AU233)))),1,0))</f>
        <v/>
      </c>
      <c r="BF233" s="23">
        <f>IF(AR233="","",IF(OR(TRIM(AM233&amp;"")&lt;&gt;"",AND(Skills!$B$13&lt;&gt;"",ISNUMBER(SEARCH(Skills!$B$13,AU233)))),1,0))</f>
        <v/>
      </c>
      <c r="BG233" s="23">
        <f>IF(AR233="","",IF(OR(TRIM(AN233&amp;"")&lt;&gt;"",AND(Skills!$B$14&lt;&gt;"",ISNUMBER(SEARCH(Skills!$B$14,AU233)))),1,0))</f>
        <v/>
      </c>
      <c r="BH233" s="23">
        <f>IF(AR233="","",IF(OR(TRIM(AO233&amp;"")&lt;&gt;"",AND(Skills!$B$15&lt;&gt;"",ISNUMBER(SEARCH(Skills!$B$15,AU233)))),1,0))</f>
        <v/>
      </c>
      <c r="BI233" s="23">
        <f>IF(AR233="","",IF(OR(TRIM(AP233&amp;"")&lt;&gt;"",AND(Skills!$B$16&lt;&gt;"",ISNUMBER(SEARCH(Skills!$B$16,AU233)))),1,0))</f>
        <v/>
      </c>
      <c r="BJ233" s="23">
        <f>IF(AR233="","",SUMPRODUCT($AX233:$BI233,Skills!$B$20:$M$20))</f>
        <v/>
      </c>
      <c r="BK233" s="23">
        <f>IF(AR233="","",BJ233*100000+(100000-ROW()))</f>
        <v/>
      </c>
      <c r="BL233" s="31">
        <f>IF(AR233="","",IF((IF(AND(AX233=1,Skills!$B$20=1),Skills!$B$5&amp;", ","")&amp;IF(AND(AY233=1,Skills!$C$20=1),Skills!$B$6&amp;", ","")&amp;IF(AND(AZ233=1,Skills!$D$20=1),Skills!$B$7&amp;", ","")&amp;IF(AND(BA233=1,Skills!$E$20=1),Skills!$B$8&amp;", ","")&amp;IF(AND(BB233=1,Skills!$F$20=1),Skills!$B$9&amp;", ","")&amp;IF(AND(BC233=1,Skills!$G$20=1),Skills!$B$10&amp;", ","")&amp;IF(AND(BD233=1,Skills!$H$20=1),Skills!$B$11&amp;", ","")&amp;IF(AND(BE233=1,Skills!$I$20=1),Skills!$B$12&amp;", ","")&amp;IF(AND(BF233=1,Skills!$J$20=1),Skills!$B$13&amp;", ","")&amp;IF(AND(BG233=1,Skills!$K$20=1),Skills!$B$14&amp;", ","")&amp;IF(AND(BH233=1,Skills!$L$20=1),Skills!$B$15&amp;", ","")&amp;IF(AND(BI233=1,Skills!$M$20=1),Skills!$B$16&amp;", ",""))="","",LEFT(IF(AND(AX233=1,Skills!$B$20=1),Skills!$B$5&amp;", ","")&amp;IF(AND(AY233=1,Skills!$C$20=1),Skills!$B$6&amp;", ","")&amp;IF(AND(AZ233=1,Skills!$D$20=1),Skills!$B$7&amp;", ","")&amp;IF(AND(BA233=1,Skills!$E$20=1),Skills!$B$8&amp;", ","")&amp;IF(AND(BB233=1,Skills!$F$20=1),Skills!$B$9&amp;", ","")&amp;IF(AND(BC233=1,Skills!$G$20=1),Skills!$B$10&amp;", ","")&amp;IF(AND(BD233=1,Skills!$H$20=1),Skills!$B$11&amp;", ","")&amp;IF(AND(BE233=1,Skills!$I$20=1),Skills!$B$12&amp;", ","")&amp;IF(AND(BF233=1,Skills!$J$20=1),Skills!$B$13&amp;", ","")&amp;IF(AND(BG233=1,Skills!$K$20=1),Skills!$B$14&amp;", ","")&amp;IF(AND(BH233=1,Skills!$L$20=1),Skills!$B$15&amp;", ","")&amp;IF(AND(BI233=1,Skills!$M$20=1),Skills!$B$16&amp;", ",""),LEN(IF(AND(AX233=1,Skills!$B$20=1),Skills!$B$5&amp;", ","")&amp;IF(AND(AY233=1,Skills!$C$20=1),Skills!$B$6&amp;", ","")&amp;IF(AND(AZ233=1,Skills!$D$20=1),Skills!$B$7&amp;", ","")&amp;IF(AND(BA233=1,Skills!$E$20=1),Skills!$B$8&amp;", ","")&amp;IF(AND(BB233=1,Skills!$F$20=1),Skills!$B$9&amp;", ","")&amp;IF(AND(BC233=1,Skills!$G$20=1),Skills!$B$10&amp;", ","")&amp;IF(AND(BD233=1,Skills!$H$20=1),Skills!$B$11&amp;", ","")&amp;IF(AND(BE233=1,Skills!$I$20=1),Skills!$B$12&amp;", ","")&amp;IF(AND(BF233=1,Skills!$J$20=1),Skills!$B$13&amp;", ","")&amp;IF(AND(BG233=1,Skills!$K$20=1),Skills!$B$14&amp;", ","")&amp;IF(AND(BH233=1,Skills!$L$20=1),Skills!$B$15&amp;", ","")&amp;IF(AND(BI233=1,Skills!$M$20=1),Skills!$B$16&amp;", ",""))-2)))</f>
        <v/>
      </c>
    </row>
    <row r="234">
      <c r="AD234" s="20" t="n"/>
      <c r="AE234" s="20" t="n"/>
      <c r="AF234" s="20" t="n"/>
      <c r="AG234" s="20" t="n"/>
      <c r="AH234" s="20" t="n"/>
      <c r="AI234" s="20" t="n"/>
      <c r="AJ234" s="20" t="n"/>
      <c r="AK234" s="20" t="n"/>
      <c r="AL234" s="20" t="n"/>
      <c r="AM234" s="20" t="n"/>
      <c r="AN234" s="20" t="n"/>
      <c r="AO234" s="20" t="n"/>
      <c r="AP234" s="20" t="n"/>
      <c r="AR234" s="31">
        <f>IF(IFERROR(TRIM(INDEX($A234:$AB234,MATCH(Lists!$B$5,$A$1:$AB$1,0))&amp;""),"")&lt;&gt;"",IFERROR(TRIM(INDEX($A234:$AB234,MATCH(Lists!$B$5,$A$1:$AB$1,0))&amp;""),""),IFERROR(TRIM(INDEX($A234:$AB234,MATCH(Lists!$B$3,$A$1:$AB$1,0))&amp;""),""))</f>
        <v/>
      </c>
      <c r="AS234" s="31">
        <f>IF(AR234="","",IF(IFERROR(TRIM(INDEX($A234:$AB234,MATCH(Lists!$B$5,$A$1:$AB$1,0))&amp;""),"")&lt;&gt;"","Nominated","Applied"))</f>
        <v/>
      </c>
      <c r="AT234" s="31">
        <f>IF(AR234="","",IF(IFERROR(TRIM(INDEX($A234:$AB234,MATCH(Lists!$B$5,$A$1:$AB$1,0))&amp;""),"")&lt;&gt;"",IFERROR(TRIM(INDEX($A234:$AB234,MATCH(Lists!$B$6,$A$1:$AB$1,0))&amp;""),""),IFERROR(TRIM(INDEX($A234:$AB234,MATCH(Lists!$B$4,$A$1:$AB$1,0))&amp;""),"")))</f>
        <v/>
      </c>
      <c r="AU234" s="31">
        <f>IF(AR234="","",IFERROR(TRIM(INDEX($A234:$AB234,MATCH(Lists!$B$7,$A$1:$AB$1,0))&amp;""),""))</f>
        <v/>
      </c>
      <c r="AV234" s="31">
        <f>IF(AR234="","",IFERROR(TRIM(INDEX($A234:$AB234,MATCH(Lists!$B$9,$A$1:$AB$1,0))&amp;""),""))</f>
        <v/>
      </c>
      <c r="AW234" s="31">
        <f>IF(AR234="","",IFERROR(TRIM(INDEX($A234:$AB234,MATCH(Lists!$B$8,$A$1:$AB$1,0))&amp;""),""))</f>
        <v/>
      </c>
      <c r="AX234" s="23">
        <f>IF(AR234="","",IF(OR(TRIM(AE234&amp;"")&lt;&gt;"",AND(Skills!$B$5&lt;&gt;"",ISNUMBER(SEARCH(Skills!$B$5,AU234)))),1,0))</f>
        <v/>
      </c>
      <c r="AY234" s="23">
        <f>IF(AR234="","",IF(OR(TRIM(AF234&amp;"")&lt;&gt;"",AND(Skills!$B$6&lt;&gt;"",ISNUMBER(SEARCH(Skills!$B$6,AU234)))),1,0))</f>
        <v/>
      </c>
      <c r="AZ234" s="23">
        <f>IF(AR234="","",IF(OR(TRIM(AG234&amp;"")&lt;&gt;"",AND(Skills!$B$7&lt;&gt;"",ISNUMBER(SEARCH(Skills!$B$7,AU234)))),1,0))</f>
        <v/>
      </c>
      <c r="BA234" s="23">
        <f>IF(AR234="","",IF(OR(TRIM(AH234&amp;"")&lt;&gt;"",AND(Skills!$B$8&lt;&gt;"",ISNUMBER(SEARCH(Skills!$B$8,AU234)))),1,0))</f>
        <v/>
      </c>
      <c r="BB234" s="23">
        <f>IF(AR234="","",IF(OR(TRIM(AI234&amp;"")&lt;&gt;"",AND(Skills!$B$9&lt;&gt;"",ISNUMBER(SEARCH(Skills!$B$9,AU234)))),1,0))</f>
        <v/>
      </c>
      <c r="BC234" s="23">
        <f>IF(AR234="","",IF(OR(TRIM(AJ234&amp;"")&lt;&gt;"",AND(Skills!$B$10&lt;&gt;"",ISNUMBER(SEARCH(Skills!$B$10,AU234)))),1,0))</f>
        <v/>
      </c>
      <c r="BD234" s="23">
        <f>IF(AR234="","",IF(OR(TRIM(AK234&amp;"")&lt;&gt;"",AND(Skills!$B$11&lt;&gt;"",ISNUMBER(SEARCH(Skills!$B$11,AU234)))),1,0))</f>
        <v/>
      </c>
      <c r="BE234" s="23">
        <f>IF(AR234="","",IF(OR(TRIM(AL234&amp;"")&lt;&gt;"",AND(Skills!$B$12&lt;&gt;"",ISNUMBER(SEARCH(Skills!$B$12,AU234)))),1,0))</f>
        <v/>
      </c>
      <c r="BF234" s="23">
        <f>IF(AR234="","",IF(OR(TRIM(AM234&amp;"")&lt;&gt;"",AND(Skills!$B$13&lt;&gt;"",ISNUMBER(SEARCH(Skills!$B$13,AU234)))),1,0))</f>
        <v/>
      </c>
      <c r="BG234" s="23">
        <f>IF(AR234="","",IF(OR(TRIM(AN234&amp;"")&lt;&gt;"",AND(Skills!$B$14&lt;&gt;"",ISNUMBER(SEARCH(Skills!$B$14,AU234)))),1,0))</f>
        <v/>
      </c>
      <c r="BH234" s="23">
        <f>IF(AR234="","",IF(OR(TRIM(AO234&amp;"")&lt;&gt;"",AND(Skills!$B$15&lt;&gt;"",ISNUMBER(SEARCH(Skills!$B$15,AU234)))),1,0))</f>
        <v/>
      </c>
      <c r="BI234" s="23">
        <f>IF(AR234="","",IF(OR(TRIM(AP234&amp;"")&lt;&gt;"",AND(Skills!$B$16&lt;&gt;"",ISNUMBER(SEARCH(Skills!$B$16,AU234)))),1,0))</f>
        <v/>
      </c>
      <c r="BJ234" s="23">
        <f>IF(AR234="","",SUMPRODUCT($AX234:$BI234,Skills!$B$20:$M$20))</f>
        <v/>
      </c>
      <c r="BK234" s="23">
        <f>IF(AR234="","",BJ234*100000+(100000-ROW()))</f>
        <v/>
      </c>
      <c r="BL234" s="31">
        <f>IF(AR234="","",IF((IF(AND(AX234=1,Skills!$B$20=1),Skills!$B$5&amp;", ","")&amp;IF(AND(AY234=1,Skills!$C$20=1),Skills!$B$6&amp;", ","")&amp;IF(AND(AZ234=1,Skills!$D$20=1),Skills!$B$7&amp;", ","")&amp;IF(AND(BA234=1,Skills!$E$20=1),Skills!$B$8&amp;", ","")&amp;IF(AND(BB234=1,Skills!$F$20=1),Skills!$B$9&amp;", ","")&amp;IF(AND(BC234=1,Skills!$G$20=1),Skills!$B$10&amp;", ","")&amp;IF(AND(BD234=1,Skills!$H$20=1),Skills!$B$11&amp;", ","")&amp;IF(AND(BE234=1,Skills!$I$20=1),Skills!$B$12&amp;", ","")&amp;IF(AND(BF234=1,Skills!$J$20=1),Skills!$B$13&amp;", ","")&amp;IF(AND(BG234=1,Skills!$K$20=1),Skills!$B$14&amp;", ","")&amp;IF(AND(BH234=1,Skills!$L$20=1),Skills!$B$15&amp;", ","")&amp;IF(AND(BI234=1,Skills!$M$20=1),Skills!$B$16&amp;", ",""))="","",LEFT(IF(AND(AX234=1,Skills!$B$20=1),Skills!$B$5&amp;", ","")&amp;IF(AND(AY234=1,Skills!$C$20=1),Skills!$B$6&amp;", ","")&amp;IF(AND(AZ234=1,Skills!$D$20=1),Skills!$B$7&amp;", ","")&amp;IF(AND(BA234=1,Skills!$E$20=1),Skills!$B$8&amp;", ","")&amp;IF(AND(BB234=1,Skills!$F$20=1),Skills!$B$9&amp;", ","")&amp;IF(AND(BC234=1,Skills!$G$20=1),Skills!$B$10&amp;", ","")&amp;IF(AND(BD234=1,Skills!$H$20=1),Skills!$B$11&amp;", ","")&amp;IF(AND(BE234=1,Skills!$I$20=1),Skills!$B$12&amp;", ","")&amp;IF(AND(BF234=1,Skills!$J$20=1),Skills!$B$13&amp;", ","")&amp;IF(AND(BG234=1,Skills!$K$20=1),Skills!$B$14&amp;", ","")&amp;IF(AND(BH234=1,Skills!$L$20=1),Skills!$B$15&amp;", ","")&amp;IF(AND(BI234=1,Skills!$M$20=1),Skills!$B$16&amp;", ",""),LEN(IF(AND(AX234=1,Skills!$B$20=1),Skills!$B$5&amp;", ","")&amp;IF(AND(AY234=1,Skills!$C$20=1),Skills!$B$6&amp;", ","")&amp;IF(AND(AZ234=1,Skills!$D$20=1),Skills!$B$7&amp;", ","")&amp;IF(AND(BA234=1,Skills!$E$20=1),Skills!$B$8&amp;", ","")&amp;IF(AND(BB234=1,Skills!$F$20=1),Skills!$B$9&amp;", ","")&amp;IF(AND(BC234=1,Skills!$G$20=1),Skills!$B$10&amp;", ","")&amp;IF(AND(BD234=1,Skills!$H$20=1),Skills!$B$11&amp;", ","")&amp;IF(AND(BE234=1,Skills!$I$20=1),Skills!$B$12&amp;", ","")&amp;IF(AND(BF234=1,Skills!$J$20=1),Skills!$B$13&amp;", ","")&amp;IF(AND(BG234=1,Skills!$K$20=1),Skills!$B$14&amp;", ","")&amp;IF(AND(BH234=1,Skills!$L$20=1),Skills!$B$15&amp;", ","")&amp;IF(AND(BI234=1,Skills!$M$20=1),Skills!$B$16&amp;", ",""))-2)))</f>
        <v/>
      </c>
    </row>
    <row r="235">
      <c r="AD235" s="20" t="n"/>
      <c r="AE235" s="20" t="n"/>
      <c r="AF235" s="20" t="n"/>
      <c r="AG235" s="20" t="n"/>
      <c r="AH235" s="20" t="n"/>
      <c r="AI235" s="20" t="n"/>
      <c r="AJ235" s="20" t="n"/>
      <c r="AK235" s="20" t="n"/>
      <c r="AL235" s="20" t="n"/>
      <c r="AM235" s="20" t="n"/>
      <c r="AN235" s="20" t="n"/>
      <c r="AO235" s="20" t="n"/>
      <c r="AP235" s="20" t="n"/>
      <c r="AR235" s="31">
        <f>IF(IFERROR(TRIM(INDEX($A235:$AB235,MATCH(Lists!$B$5,$A$1:$AB$1,0))&amp;""),"")&lt;&gt;"",IFERROR(TRIM(INDEX($A235:$AB235,MATCH(Lists!$B$5,$A$1:$AB$1,0))&amp;""),""),IFERROR(TRIM(INDEX($A235:$AB235,MATCH(Lists!$B$3,$A$1:$AB$1,0))&amp;""),""))</f>
        <v/>
      </c>
      <c r="AS235" s="31">
        <f>IF(AR235="","",IF(IFERROR(TRIM(INDEX($A235:$AB235,MATCH(Lists!$B$5,$A$1:$AB$1,0))&amp;""),"")&lt;&gt;"","Nominated","Applied"))</f>
        <v/>
      </c>
      <c r="AT235" s="31">
        <f>IF(AR235="","",IF(IFERROR(TRIM(INDEX($A235:$AB235,MATCH(Lists!$B$5,$A$1:$AB$1,0))&amp;""),"")&lt;&gt;"",IFERROR(TRIM(INDEX($A235:$AB235,MATCH(Lists!$B$6,$A$1:$AB$1,0))&amp;""),""),IFERROR(TRIM(INDEX($A235:$AB235,MATCH(Lists!$B$4,$A$1:$AB$1,0))&amp;""),"")))</f>
        <v/>
      </c>
      <c r="AU235" s="31">
        <f>IF(AR235="","",IFERROR(TRIM(INDEX($A235:$AB235,MATCH(Lists!$B$7,$A$1:$AB$1,0))&amp;""),""))</f>
        <v/>
      </c>
      <c r="AV235" s="31">
        <f>IF(AR235="","",IFERROR(TRIM(INDEX($A235:$AB235,MATCH(Lists!$B$9,$A$1:$AB$1,0))&amp;""),""))</f>
        <v/>
      </c>
      <c r="AW235" s="31">
        <f>IF(AR235="","",IFERROR(TRIM(INDEX($A235:$AB235,MATCH(Lists!$B$8,$A$1:$AB$1,0))&amp;""),""))</f>
        <v/>
      </c>
      <c r="AX235" s="23">
        <f>IF(AR235="","",IF(OR(TRIM(AE235&amp;"")&lt;&gt;"",AND(Skills!$B$5&lt;&gt;"",ISNUMBER(SEARCH(Skills!$B$5,AU235)))),1,0))</f>
        <v/>
      </c>
      <c r="AY235" s="23">
        <f>IF(AR235="","",IF(OR(TRIM(AF235&amp;"")&lt;&gt;"",AND(Skills!$B$6&lt;&gt;"",ISNUMBER(SEARCH(Skills!$B$6,AU235)))),1,0))</f>
        <v/>
      </c>
      <c r="AZ235" s="23">
        <f>IF(AR235="","",IF(OR(TRIM(AG235&amp;"")&lt;&gt;"",AND(Skills!$B$7&lt;&gt;"",ISNUMBER(SEARCH(Skills!$B$7,AU235)))),1,0))</f>
        <v/>
      </c>
      <c r="BA235" s="23">
        <f>IF(AR235="","",IF(OR(TRIM(AH235&amp;"")&lt;&gt;"",AND(Skills!$B$8&lt;&gt;"",ISNUMBER(SEARCH(Skills!$B$8,AU235)))),1,0))</f>
        <v/>
      </c>
      <c r="BB235" s="23">
        <f>IF(AR235="","",IF(OR(TRIM(AI235&amp;"")&lt;&gt;"",AND(Skills!$B$9&lt;&gt;"",ISNUMBER(SEARCH(Skills!$B$9,AU235)))),1,0))</f>
        <v/>
      </c>
      <c r="BC235" s="23">
        <f>IF(AR235="","",IF(OR(TRIM(AJ235&amp;"")&lt;&gt;"",AND(Skills!$B$10&lt;&gt;"",ISNUMBER(SEARCH(Skills!$B$10,AU235)))),1,0))</f>
        <v/>
      </c>
      <c r="BD235" s="23">
        <f>IF(AR235="","",IF(OR(TRIM(AK235&amp;"")&lt;&gt;"",AND(Skills!$B$11&lt;&gt;"",ISNUMBER(SEARCH(Skills!$B$11,AU235)))),1,0))</f>
        <v/>
      </c>
      <c r="BE235" s="23">
        <f>IF(AR235="","",IF(OR(TRIM(AL235&amp;"")&lt;&gt;"",AND(Skills!$B$12&lt;&gt;"",ISNUMBER(SEARCH(Skills!$B$12,AU235)))),1,0))</f>
        <v/>
      </c>
      <c r="BF235" s="23">
        <f>IF(AR235="","",IF(OR(TRIM(AM235&amp;"")&lt;&gt;"",AND(Skills!$B$13&lt;&gt;"",ISNUMBER(SEARCH(Skills!$B$13,AU235)))),1,0))</f>
        <v/>
      </c>
      <c r="BG235" s="23">
        <f>IF(AR235="","",IF(OR(TRIM(AN235&amp;"")&lt;&gt;"",AND(Skills!$B$14&lt;&gt;"",ISNUMBER(SEARCH(Skills!$B$14,AU235)))),1,0))</f>
        <v/>
      </c>
      <c r="BH235" s="23">
        <f>IF(AR235="","",IF(OR(TRIM(AO235&amp;"")&lt;&gt;"",AND(Skills!$B$15&lt;&gt;"",ISNUMBER(SEARCH(Skills!$B$15,AU235)))),1,0))</f>
        <v/>
      </c>
      <c r="BI235" s="23">
        <f>IF(AR235="","",IF(OR(TRIM(AP235&amp;"")&lt;&gt;"",AND(Skills!$B$16&lt;&gt;"",ISNUMBER(SEARCH(Skills!$B$16,AU235)))),1,0))</f>
        <v/>
      </c>
      <c r="BJ235" s="23">
        <f>IF(AR235="","",SUMPRODUCT($AX235:$BI235,Skills!$B$20:$M$20))</f>
        <v/>
      </c>
      <c r="BK235" s="23">
        <f>IF(AR235="","",BJ235*100000+(100000-ROW()))</f>
        <v/>
      </c>
      <c r="BL235" s="31">
        <f>IF(AR235="","",IF((IF(AND(AX235=1,Skills!$B$20=1),Skills!$B$5&amp;", ","")&amp;IF(AND(AY235=1,Skills!$C$20=1),Skills!$B$6&amp;", ","")&amp;IF(AND(AZ235=1,Skills!$D$20=1),Skills!$B$7&amp;", ","")&amp;IF(AND(BA235=1,Skills!$E$20=1),Skills!$B$8&amp;", ","")&amp;IF(AND(BB235=1,Skills!$F$20=1),Skills!$B$9&amp;", ","")&amp;IF(AND(BC235=1,Skills!$G$20=1),Skills!$B$10&amp;", ","")&amp;IF(AND(BD235=1,Skills!$H$20=1),Skills!$B$11&amp;", ","")&amp;IF(AND(BE235=1,Skills!$I$20=1),Skills!$B$12&amp;", ","")&amp;IF(AND(BF235=1,Skills!$J$20=1),Skills!$B$13&amp;", ","")&amp;IF(AND(BG235=1,Skills!$K$20=1),Skills!$B$14&amp;", ","")&amp;IF(AND(BH235=1,Skills!$L$20=1),Skills!$B$15&amp;", ","")&amp;IF(AND(BI235=1,Skills!$M$20=1),Skills!$B$16&amp;", ",""))="","",LEFT(IF(AND(AX235=1,Skills!$B$20=1),Skills!$B$5&amp;", ","")&amp;IF(AND(AY235=1,Skills!$C$20=1),Skills!$B$6&amp;", ","")&amp;IF(AND(AZ235=1,Skills!$D$20=1),Skills!$B$7&amp;", ","")&amp;IF(AND(BA235=1,Skills!$E$20=1),Skills!$B$8&amp;", ","")&amp;IF(AND(BB235=1,Skills!$F$20=1),Skills!$B$9&amp;", ","")&amp;IF(AND(BC235=1,Skills!$G$20=1),Skills!$B$10&amp;", ","")&amp;IF(AND(BD235=1,Skills!$H$20=1),Skills!$B$11&amp;", ","")&amp;IF(AND(BE235=1,Skills!$I$20=1),Skills!$B$12&amp;", ","")&amp;IF(AND(BF235=1,Skills!$J$20=1),Skills!$B$13&amp;", ","")&amp;IF(AND(BG235=1,Skills!$K$20=1),Skills!$B$14&amp;", ","")&amp;IF(AND(BH235=1,Skills!$L$20=1),Skills!$B$15&amp;", ","")&amp;IF(AND(BI235=1,Skills!$M$20=1),Skills!$B$16&amp;", ",""),LEN(IF(AND(AX235=1,Skills!$B$20=1),Skills!$B$5&amp;", ","")&amp;IF(AND(AY235=1,Skills!$C$20=1),Skills!$B$6&amp;", ","")&amp;IF(AND(AZ235=1,Skills!$D$20=1),Skills!$B$7&amp;", ","")&amp;IF(AND(BA235=1,Skills!$E$20=1),Skills!$B$8&amp;", ","")&amp;IF(AND(BB235=1,Skills!$F$20=1),Skills!$B$9&amp;", ","")&amp;IF(AND(BC235=1,Skills!$G$20=1),Skills!$B$10&amp;", ","")&amp;IF(AND(BD235=1,Skills!$H$20=1),Skills!$B$11&amp;", ","")&amp;IF(AND(BE235=1,Skills!$I$20=1),Skills!$B$12&amp;", ","")&amp;IF(AND(BF235=1,Skills!$J$20=1),Skills!$B$13&amp;", ","")&amp;IF(AND(BG235=1,Skills!$K$20=1),Skills!$B$14&amp;", ","")&amp;IF(AND(BH235=1,Skills!$L$20=1),Skills!$B$15&amp;", ","")&amp;IF(AND(BI235=1,Skills!$M$20=1),Skills!$B$16&amp;", ",""))-2)))</f>
        <v/>
      </c>
    </row>
    <row r="236">
      <c r="AD236" s="20" t="n"/>
      <c r="AE236" s="20" t="n"/>
      <c r="AF236" s="20" t="n"/>
      <c r="AG236" s="20" t="n"/>
      <c r="AH236" s="20" t="n"/>
      <c r="AI236" s="20" t="n"/>
      <c r="AJ236" s="20" t="n"/>
      <c r="AK236" s="20" t="n"/>
      <c r="AL236" s="20" t="n"/>
      <c r="AM236" s="20" t="n"/>
      <c r="AN236" s="20" t="n"/>
      <c r="AO236" s="20" t="n"/>
      <c r="AP236" s="20" t="n"/>
      <c r="AR236" s="31">
        <f>IF(IFERROR(TRIM(INDEX($A236:$AB236,MATCH(Lists!$B$5,$A$1:$AB$1,0))&amp;""),"")&lt;&gt;"",IFERROR(TRIM(INDEX($A236:$AB236,MATCH(Lists!$B$5,$A$1:$AB$1,0))&amp;""),""),IFERROR(TRIM(INDEX($A236:$AB236,MATCH(Lists!$B$3,$A$1:$AB$1,0))&amp;""),""))</f>
        <v/>
      </c>
      <c r="AS236" s="31">
        <f>IF(AR236="","",IF(IFERROR(TRIM(INDEX($A236:$AB236,MATCH(Lists!$B$5,$A$1:$AB$1,0))&amp;""),"")&lt;&gt;"","Nominated","Applied"))</f>
        <v/>
      </c>
      <c r="AT236" s="31">
        <f>IF(AR236="","",IF(IFERROR(TRIM(INDEX($A236:$AB236,MATCH(Lists!$B$5,$A$1:$AB$1,0))&amp;""),"")&lt;&gt;"",IFERROR(TRIM(INDEX($A236:$AB236,MATCH(Lists!$B$6,$A$1:$AB$1,0))&amp;""),""),IFERROR(TRIM(INDEX($A236:$AB236,MATCH(Lists!$B$4,$A$1:$AB$1,0))&amp;""),"")))</f>
        <v/>
      </c>
      <c r="AU236" s="31">
        <f>IF(AR236="","",IFERROR(TRIM(INDEX($A236:$AB236,MATCH(Lists!$B$7,$A$1:$AB$1,0))&amp;""),""))</f>
        <v/>
      </c>
      <c r="AV236" s="31">
        <f>IF(AR236="","",IFERROR(TRIM(INDEX($A236:$AB236,MATCH(Lists!$B$9,$A$1:$AB$1,0))&amp;""),""))</f>
        <v/>
      </c>
      <c r="AW236" s="31">
        <f>IF(AR236="","",IFERROR(TRIM(INDEX($A236:$AB236,MATCH(Lists!$B$8,$A$1:$AB$1,0))&amp;""),""))</f>
        <v/>
      </c>
      <c r="AX236" s="23">
        <f>IF(AR236="","",IF(OR(TRIM(AE236&amp;"")&lt;&gt;"",AND(Skills!$B$5&lt;&gt;"",ISNUMBER(SEARCH(Skills!$B$5,AU236)))),1,0))</f>
        <v/>
      </c>
      <c r="AY236" s="23">
        <f>IF(AR236="","",IF(OR(TRIM(AF236&amp;"")&lt;&gt;"",AND(Skills!$B$6&lt;&gt;"",ISNUMBER(SEARCH(Skills!$B$6,AU236)))),1,0))</f>
        <v/>
      </c>
      <c r="AZ236" s="23">
        <f>IF(AR236="","",IF(OR(TRIM(AG236&amp;"")&lt;&gt;"",AND(Skills!$B$7&lt;&gt;"",ISNUMBER(SEARCH(Skills!$B$7,AU236)))),1,0))</f>
        <v/>
      </c>
      <c r="BA236" s="23">
        <f>IF(AR236="","",IF(OR(TRIM(AH236&amp;"")&lt;&gt;"",AND(Skills!$B$8&lt;&gt;"",ISNUMBER(SEARCH(Skills!$B$8,AU236)))),1,0))</f>
        <v/>
      </c>
      <c r="BB236" s="23">
        <f>IF(AR236="","",IF(OR(TRIM(AI236&amp;"")&lt;&gt;"",AND(Skills!$B$9&lt;&gt;"",ISNUMBER(SEARCH(Skills!$B$9,AU236)))),1,0))</f>
        <v/>
      </c>
      <c r="BC236" s="23">
        <f>IF(AR236="","",IF(OR(TRIM(AJ236&amp;"")&lt;&gt;"",AND(Skills!$B$10&lt;&gt;"",ISNUMBER(SEARCH(Skills!$B$10,AU236)))),1,0))</f>
        <v/>
      </c>
      <c r="BD236" s="23">
        <f>IF(AR236="","",IF(OR(TRIM(AK236&amp;"")&lt;&gt;"",AND(Skills!$B$11&lt;&gt;"",ISNUMBER(SEARCH(Skills!$B$11,AU236)))),1,0))</f>
        <v/>
      </c>
      <c r="BE236" s="23">
        <f>IF(AR236="","",IF(OR(TRIM(AL236&amp;"")&lt;&gt;"",AND(Skills!$B$12&lt;&gt;"",ISNUMBER(SEARCH(Skills!$B$12,AU236)))),1,0))</f>
        <v/>
      </c>
      <c r="BF236" s="23">
        <f>IF(AR236="","",IF(OR(TRIM(AM236&amp;"")&lt;&gt;"",AND(Skills!$B$13&lt;&gt;"",ISNUMBER(SEARCH(Skills!$B$13,AU236)))),1,0))</f>
        <v/>
      </c>
      <c r="BG236" s="23">
        <f>IF(AR236="","",IF(OR(TRIM(AN236&amp;"")&lt;&gt;"",AND(Skills!$B$14&lt;&gt;"",ISNUMBER(SEARCH(Skills!$B$14,AU236)))),1,0))</f>
        <v/>
      </c>
      <c r="BH236" s="23">
        <f>IF(AR236="","",IF(OR(TRIM(AO236&amp;"")&lt;&gt;"",AND(Skills!$B$15&lt;&gt;"",ISNUMBER(SEARCH(Skills!$B$15,AU236)))),1,0))</f>
        <v/>
      </c>
      <c r="BI236" s="23">
        <f>IF(AR236="","",IF(OR(TRIM(AP236&amp;"")&lt;&gt;"",AND(Skills!$B$16&lt;&gt;"",ISNUMBER(SEARCH(Skills!$B$16,AU236)))),1,0))</f>
        <v/>
      </c>
      <c r="BJ236" s="23">
        <f>IF(AR236="","",SUMPRODUCT($AX236:$BI236,Skills!$B$20:$M$20))</f>
        <v/>
      </c>
      <c r="BK236" s="23">
        <f>IF(AR236="","",BJ236*100000+(100000-ROW()))</f>
        <v/>
      </c>
      <c r="BL236" s="31">
        <f>IF(AR236="","",IF((IF(AND(AX236=1,Skills!$B$20=1),Skills!$B$5&amp;", ","")&amp;IF(AND(AY236=1,Skills!$C$20=1),Skills!$B$6&amp;", ","")&amp;IF(AND(AZ236=1,Skills!$D$20=1),Skills!$B$7&amp;", ","")&amp;IF(AND(BA236=1,Skills!$E$20=1),Skills!$B$8&amp;", ","")&amp;IF(AND(BB236=1,Skills!$F$20=1),Skills!$B$9&amp;", ","")&amp;IF(AND(BC236=1,Skills!$G$20=1),Skills!$B$10&amp;", ","")&amp;IF(AND(BD236=1,Skills!$H$20=1),Skills!$B$11&amp;", ","")&amp;IF(AND(BE236=1,Skills!$I$20=1),Skills!$B$12&amp;", ","")&amp;IF(AND(BF236=1,Skills!$J$20=1),Skills!$B$13&amp;", ","")&amp;IF(AND(BG236=1,Skills!$K$20=1),Skills!$B$14&amp;", ","")&amp;IF(AND(BH236=1,Skills!$L$20=1),Skills!$B$15&amp;", ","")&amp;IF(AND(BI236=1,Skills!$M$20=1),Skills!$B$16&amp;", ",""))="","",LEFT(IF(AND(AX236=1,Skills!$B$20=1),Skills!$B$5&amp;", ","")&amp;IF(AND(AY236=1,Skills!$C$20=1),Skills!$B$6&amp;", ","")&amp;IF(AND(AZ236=1,Skills!$D$20=1),Skills!$B$7&amp;", ","")&amp;IF(AND(BA236=1,Skills!$E$20=1),Skills!$B$8&amp;", ","")&amp;IF(AND(BB236=1,Skills!$F$20=1),Skills!$B$9&amp;", ","")&amp;IF(AND(BC236=1,Skills!$G$20=1),Skills!$B$10&amp;", ","")&amp;IF(AND(BD236=1,Skills!$H$20=1),Skills!$B$11&amp;", ","")&amp;IF(AND(BE236=1,Skills!$I$20=1),Skills!$B$12&amp;", ","")&amp;IF(AND(BF236=1,Skills!$J$20=1),Skills!$B$13&amp;", ","")&amp;IF(AND(BG236=1,Skills!$K$20=1),Skills!$B$14&amp;", ","")&amp;IF(AND(BH236=1,Skills!$L$20=1),Skills!$B$15&amp;", ","")&amp;IF(AND(BI236=1,Skills!$M$20=1),Skills!$B$16&amp;", ",""),LEN(IF(AND(AX236=1,Skills!$B$20=1),Skills!$B$5&amp;", ","")&amp;IF(AND(AY236=1,Skills!$C$20=1),Skills!$B$6&amp;", ","")&amp;IF(AND(AZ236=1,Skills!$D$20=1),Skills!$B$7&amp;", ","")&amp;IF(AND(BA236=1,Skills!$E$20=1),Skills!$B$8&amp;", ","")&amp;IF(AND(BB236=1,Skills!$F$20=1),Skills!$B$9&amp;", ","")&amp;IF(AND(BC236=1,Skills!$G$20=1),Skills!$B$10&amp;", ","")&amp;IF(AND(BD236=1,Skills!$H$20=1),Skills!$B$11&amp;", ","")&amp;IF(AND(BE236=1,Skills!$I$20=1),Skills!$B$12&amp;", ","")&amp;IF(AND(BF236=1,Skills!$J$20=1),Skills!$B$13&amp;", ","")&amp;IF(AND(BG236=1,Skills!$K$20=1),Skills!$B$14&amp;", ","")&amp;IF(AND(BH236=1,Skills!$L$20=1),Skills!$B$15&amp;", ","")&amp;IF(AND(BI236=1,Skills!$M$20=1),Skills!$B$16&amp;", ",""))-2)))</f>
        <v/>
      </c>
    </row>
    <row r="237">
      <c r="AD237" s="20" t="n"/>
      <c r="AE237" s="20" t="n"/>
      <c r="AF237" s="20" t="n"/>
      <c r="AG237" s="20" t="n"/>
      <c r="AH237" s="20" t="n"/>
      <c r="AI237" s="20" t="n"/>
      <c r="AJ237" s="20" t="n"/>
      <c r="AK237" s="20" t="n"/>
      <c r="AL237" s="20" t="n"/>
      <c r="AM237" s="20" t="n"/>
      <c r="AN237" s="20" t="n"/>
      <c r="AO237" s="20" t="n"/>
      <c r="AP237" s="20" t="n"/>
      <c r="AR237" s="31">
        <f>IF(IFERROR(TRIM(INDEX($A237:$AB237,MATCH(Lists!$B$5,$A$1:$AB$1,0))&amp;""),"")&lt;&gt;"",IFERROR(TRIM(INDEX($A237:$AB237,MATCH(Lists!$B$5,$A$1:$AB$1,0))&amp;""),""),IFERROR(TRIM(INDEX($A237:$AB237,MATCH(Lists!$B$3,$A$1:$AB$1,0))&amp;""),""))</f>
        <v/>
      </c>
      <c r="AS237" s="31">
        <f>IF(AR237="","",IF(IFERROR(TRIM(INDEX($A237:$AB237,MATCH(Lists!$B$5,$A$1:$AB$1,0))&amp;""),"")&lt;&gt;"","Nominated","Applied"))</f>
        <v/>
      </c>
      <c r="AT237" s="31">
        <f>IF(AR237="","",IF(IFERROR(TRIM(INDEX($A237:$AB237,MATCH(Lists!$B$5,$A$1:$AB$1,0))&amp;""),"")&lt;&gt;"",IFERROR(TRIM(INDEX($A237:$AB237,MATCH(Lists!$B$6,$A$1:$AB$1,0))&amp;""),""),IFERROR(TRIM(INDEX($A237:$AB237,MATCH(Lists!$B$4,$A$1:$AB$1,0))&amp;""),"")))</f>
        <v/>
      </c>
      <c r="AU237" s="31">
        <f>IF(AR237="","",IFERROR(TRIM(INDEX($A237:$AB237,MATCH(Lists!$B$7,$A$1:$AB$1,0))&amp;""),""))</f>
        <v/>
      </c>
      <c r="AV237" s="31">
        <f>IF(AR237="","",IFERROR(TRIM(INDEX($A237:$AB237,MATCH(Lists!$B$9,$A$1:$AB$1,0))&amp;""),""))</f>
        <v/>
      </c>
      <c r="AW237" s="31">
        <f>IF(AR237="","",IFERROR(TRIM(INDEX($A237:$AB237,MATCH(Lists!$B$8,$A$1:$AB$1,0))&amp;""),""))</f>
        <v/>
      </c>
      <c r="AX237" s="23">
        <f>IF(AR237="","",IF(OR(TRIM(AE237&amp;"")&lt;&gt;"",AND(Skills!$B$5&lt;&gt;"",ISNUMBER(SEARCH(Skills!$B$5,AU237)))),1,0))</f>
        <v/>
      </c>
      <c r="AY237" s="23">
        <f>IF(AR237="","",IF(OR(TRIM(AF237&amp;"")&lt;&gt;"",AND(Skills!$B$6&lt;&gt;"",ISNUMBER(SEARCH(Skills!$B$6,AU237)))),1,0))</f>
        <v/>
      </c>
      <c r="AZ237" s="23">
        <f>IF(AR237="","",IF(OR(TRIM(AG237&amp;"")&lt;&gt;"",AND(Skills!$B$7&lt;&gt;"",ISNUMBER(SEARCH(Skills!$B$7,AU237)))),1,0))</f>
        <v/>
      </c>
      <c r="BA237" s="23">
        <f>IF(AR237="","",IF(OR(TRIM(AH237&amp;"")&lt;&gt;"",AND(Skills!$B$8&lt;&gt;"",ISNUMBER(SEARCH(Skills!$B$8,AU237)))),1,0))</f>
        <v/>
      </c>
      <c r="BB237" s="23">
        <f>IF(AR237="","",IF(OR(TRIM(AI237&amp;"")&lt;&gt;"",AND(Skills!$B$9&lt;&gt;"",ISNUMBER(SEARCH(Skills!$B$9,AU237)))),1,0))</f>
        <v/>
      </c>
      <c r="BC237" s="23">
        <f>IF(AR237="","",IF(OR(TRIM(AJ237&amp;"")&lt;&gt;"",AND(Skills!$B$10&lt;&gt;"",ISNUMBER(SEARCH(Skills!$B$10,AU237)))),1,0))</f>
        <v/>
      </c>
      <c r="BD237" s="23">
        <f>IF(AR237="","",IF(OR(TRIM(AK237&amp;"")&lt;&gt;"",AND(Skills!$B$11&lt;&gt;"",ISNUMBER(SEARCH(Skills!$B$11,AU237)))),1,0))</f>
        <v/>
      </c>
      <c r="BE237" s="23">
        <f>IF(AR237="","",IF(OR(TRIM(AL237&amp;"")&lt;&gt;"",AND(Skills!$B$12&lt;&gt;"",ISNUMBER(SEARCH(Skills!$B$12,AU237)))),1,0))</f>
        <v/>
      </c>
      <c r="BF237" s="23">
        <f>IF(AR237="","",IF(OR(TRIM(AM237&amp;"")&lt;&gt;"",AND(Skills!$B$13&lt;&gt;"",ISNUMBER(SEARCH(Skills!$B$13,AU237)))),1,0))</f>
        <v/>
      </c>
      <c r="BG237" s="23">
        <f>IF(AR237="","",IF(OR(TRIM(AN237&amp;"")&lt;&gt;"",AND(Skills!$B$14&lt;&gt;"",ISNUMBER(SEARCH(Skills!$B$14,AU237)))),1,0))</f>
        <v/>
      </c>
      <c r="BH237" s="23">
        <f>IF(AR237="","",IF(OR(TRIM(AO237&amp;"")&lt;&gt;"",AND(Skills!$B$15&lt;&gt;"",ISNUMBER(SEARCH(Skills!$B$15,AU237)))),1,0))</f>
        <v/>
      </c>
      <c r="BI237" s="23">
        <f>IF(AR237="","",IF(OR(TRIM(AP237&amp;"")&lt;&gt;"",AND(Skills!$B$16&lt;&gt;"",ISNUMBER(SEARCH(Skills!$B$16,AU237)))),1,0))</f>
        <v/>
      </c>
      <c r="BJ237" s="23">
        <f>IF(AR237="","",SUMPRODUCT($AX237:$BI237,Skills!$B$20:$M$20))</f>
        <v/>
      </c>
      <c r="BK237" s="23">
        <f>IF(AR237="","",BJ237*100000+(100000-ROW()))</f>
        <v/>
      </c>
      <c r="BL237" s="31">
        <f>IF(AR237="","",IF((IF(AND(AX237=1,Skills!$B$20=1),Skills!$B$5&amp;", ","")&amp;IF(AND(AY237=1,Skills!$C$20=1),Skills!$B$6&amp;", ","")&amp;IF(AND(AZ237=1,Skills!$D$20=1),Skills!$B$7&amp;", ","")&amp;IF(AND(BA237=1,Skills!$E$20=1),Skills!$B$8&amp;", ","")&amp;IF(AND(BB237=1,Skills!$F$20=1),Skills!$B$9&amp;", ","")&amp;IF(AND(BC237=1,Skills!$G$20=1),Skills!$B$10&amp;", ","")&amp;IF(AND(BD237=1,Skills!$H$20=1),Skills!$B$11&amp;", ","")&amp;IF(AND(BE237=1,Skills!$I$20=1),Skills!$B$12&amp;", ","")&amp;IF(AND(BF237=1,Skills!$J$20=1),Skills!$B$13&amp;", ","")&amp;IF(AND(BG237=1,Skills!$K$20=1),Skills!$B$14&amp;", ","")&amp;IF(AND(BH237=1,Skills!$L$20=1),Skills!$B$15&amp;", ","")&amp;IF(AND(BI237=1,Skills!$M$20=1),Skills!$B$16&amp;", ",""))="","",LEFT(IF(AND(AX237=1,Skills!$B$20=1),Skills!$B$5&amp;", ","")&amp;IF(AND(AY237=1,Skills!$C$20=1),Skills!$B$6&amp;", ","")&amp;IF(AND(AZ237=1,Skills!$D$20=1),Skills!$B$7&amp;", ","")&amp;IF(AND(BA237=1,Skills!$E$20=1),Skills!$B$8&amp;", ","")&amp;IF(AND(BB237=1,Skills!$F$20=1),Skills!$B$9&amp;", ","")&amp;IF(AND(BC237=1,Skills!$G$20=1),Skills!$B$10&amp;", ","")&amp;IF(AND(BD237=1,Skills!$H$20=1),Skills!$B$11&amp;", ","")&amp;IF(AND(BE237=1,Skills!$I$20=1),Skills!$B$12&amp;", ","")&amp;IF(AND(BF237=1,Skills!$J$20=1),Skills!$B$13&amp;", ","")&amp;IF(AND(BG237=1,Skills!$K$20=1),Skills!$B$14&amp;", ","")&amp;IF(AND(BH237=1,Skills!$L$20=1),Skills!$B$15&amp;", ","")&amp;IF(AND(BI237=1,Skills!$M$20=1),Skills!$B$16&amp;", ",""),LEN(IF(AND(AX237=1,Skills!$B$20=1),Skills!$B$5&amp;", ","")&amp;IF(AND(AY237=1,Skills!$C$20=1),Skills!$B$6&amp;", ","")&amp;IF(AND(AZ237=1,Skills!$D$20=1),Skills!$B$7&amp;", ","")&amp;IF(AND(BA237=1,Skills!$E$20=1),Skills!$B$8&amp;", ","")&amp;IF(AND(BB237=1,Skills!$F$20=1),Skills!$B$9&amp;", ","")&amp;IF(AND(BC237=1,Skills!$G$20=1),Skills!$B$10&amp;", ","")&amp;IF(AND(BD237=1,Skills!$H$20=1),Skills!$B$11&amp;", ","")&amp;IF(AND(BE237=1,Skills!$I$20=1),Skills!$B$12&amp;", ","")&amp;IF(AND(BF237=1,Skills!$J$20=1),Skills!$B$13&amp;", ","")&amp;IF(AND(BG237=1,Skills!$K$20=1),Skills!$B$14&amp;", ","")&amp;IF(AND(BH237=1,Skills!$L$20=1),Skills!$B$15&amp;", ","")&amp;IF(AND(BI237=1,Skills!$M$20=1),Skills!$B$16&amp;", ",""))-2)))</f>
        <v/>
      </c>
    </row>
    <row r="238">
      <c r="AD238" s="20" t="n"/>
      <c r="AE238" s="20" t="n"/>
      <c r="AF238" s="20" t="n"/>
      <c r="AG238" s="20" t="n"/>
      <c r="AH238" s="20" t="n"/>
      <c r="AI238" s="20" t="n"/>
      <c r="AJ238" s="20" t="n"/>
      <c r="AK238" s="20" t="n"/>
      <c r="AL238" s="20" t="n"/>
      <c r="AM238" s="20" t="n"/>
      <c r="AN238" s="20" t="n"/>
      <c r="AO238" s="20" t="n"/>
      <c r="AP238" s="20" t="n"/>
      <c r="AR238" s="31">
        <f>IF(IFERROR(TRIM(INDEX($A238:$AB238,MATCH(Lists!$B$5,$A$1:$AB$1,0))&amp;""),"")&lt;&gt;"",IFERROR(TRIM(INDEX($A238:$AB238,MATCH(Lists!$B$5,$A$1:$AB$1,0))&amp;""),""),IFERROR(TRIM(INDEX($A238:$AB238,MATCH(Lists!$B$3,$A$1:$AB$1,0))&amp;""),""))</f>
        <v/>
      </c>
      <c r="AS238" s="31">
        <f>IF(AR238="","",IF(IFERROR(TRIM(INDEX($A238:$AB238,MATCH(Lists!$B$5,$A$1:$AB$1,0))&amp;""),"")&lt;&gt;"","Nominated","Applied"))</f>
        <v/>
      </c>
      <c r="AT238" s="31">
        <f>IF(AR238="","",IF(IFERROR(TRIM(INDEX($A238:$AB238,MATCH(Lists!$B$5,$A$1:$AB$1,0))&amp;""),"")&lt;&gt;"",IFERROR(TRIM(INDEX($A238:$AB238,MATCH(Lists!$B$6,$A$1:$AB$1,0))&amp;""),""),IFERROR(TRIM(INDEX($A238:$AB238,MATCH(Lists!$B$4,$A$1:$AB$1,0))&amp;""),"")))</f>
        <v/>
      </c>
      <c r="AU238" s="31">
        <f>IF(AR238="","",IFERROR(TRIM(INDEX($A238:$AB238,MATCH(Lists!$B$7,$A$1:$AB$1,0))&amp;""),""))</f>
        <v/>
      </c>
      <c r="AV238" s="31">
        <f>IF(AR238="","",IFERROR(TRIM(INDEX($A238:$AB238,MATCH(Lists!$B$9,$A$1:$AB$1,0))&amp;""),""))</f>
        <v/>
      </c>
      <c r="AW238" s="31">
        <f>IF(AR238="","",IFERROR(TRIM(INDEX($A238:$AB238,MATCH(Lists!$B$8,$A$1:$AB$1,0))&amp;""),""))</f>
        <v/>
      </c>
      <c r="AX238" s="23">
        <f>IF(AR238="","",IF(OR(TRIM(AE238&amp;"")&lt;&gt;"",AND(Skills!$B$5&lt;&gt;"",ISNUMBER(SEARCH(Skills!$B$5,AU238)))),1,0))</f>
        <v/>
      </c>
      <c r="AY238" s="23">
        <f>IF(AR238="","",IF(OR(TRIM(AF238&amp;"")&lt;&gt;"",AND(Skills!$B$6&lt;&gt;"",ISNUMBER(SEARCH(Skills!$B$6,AU238)))),1,0))</f>
        <v/>
      </c>
      <c r="AZ238" s="23">
        <f>IF(AR238="","",IF(OR(TRIM(AG238&amp;"")&lt;&gt;"",AND(Skills!$B$7&lt;&gt;"",ISNUMBER(SEARCH(Skills!$B$7,AU238)))),1,0))</f>
        <v/>
      </c>
      <c r="BA238" s="23">
        <f>IF(AR238="","",IF(OR(TRIM(AH238&amp;"")&lt;&gt;"",AND(Skills!$B$8&lt;&gt;"",ISNUMBER(SEARCH(Skills!$B$8,AU238)))),1,0))</f>
        <v/>
      </c>
      <c r="BB238" s="23">
        <f>IF(AR238="","",IF(OR(TRIM(AI238&amp;"")&lt;&gt;"",AND(Skills!$B$9&lt;&gt;"",ISNUMBER(SEARCH(Skills!$B$9,AU238)))),1,0))</f>
        <v/>
      </c>
      <c r="BC238" s="23">
        <f>IF(AR238="","",IF(OR(TRIM(AJ238&amp;"")&lt;&gt;"",AND(Skills!$B$10&lt;&gt;"",ISNUMBER(SEARCH(Skills!$B$10,AU238)))),1,0))</f>
        <v/>
      </c>
      <c r="BD238" s="23">
        <f>IF(AR238="","",IF(OR(TRIM(AK238&amp;"")&lt;&gt;"",AND(Skills!$B$11&lt;&gt;"",ISNUMBER(SEARCH(Skills!$B$11,AU238)))),1,0))</f>
        <v/>
      </c>
      <c r="BE238" s="23">
        <f>IF(AR238="","",IF(OR(TRIM(AL238&amp;"")&lt;&gt;"",AND(Skills!$B$12&lt;&gt;"",ISNUMBER(SEARCH(Skills!$B$12,AU238)))),1,0))</f>
        <v/>
      </c>
      <c r="BF238" s="23">
        <f>IF(AR238="","",IF(OR(TRIM(AM238&amp;"")&lt;&gt;"",AND(Skills!$B$13&lt;&gt;"",ISNUMBER(SEARCH(Skills!$B$13,AU238)))),1,0))</f>
        <v/>
      </c>
      <c r="BG238" s="23">
        <f>IF(AR238="","",IF(OR(TRIM(AN238&amp;"")&lt;&gt;"",AND(Skills!$B$14&lt;&gt;"",ISNUMBER(SEARCH(Skills!$B$14,AU238)))),1,0))</f>
        <v/>
      </c>
      <c r="BH238" s="23">
        <f>IF(AR238="","",IF(OR(TRIM(AO238&amp;"")&lt;&gt;"",AND(Skills!$B$15&lt;&gt;"",ISNUMBER(SEARCH(Skills!$B$15,AU238)))),1,0))</f>
        <v/>
      </c>
      <c r="BI238" s="23">
        <f>IF(AR238="","",IF(OR(TRIM(AP238&amp;"")&lt;&gt;"",AND(Skills!$B$16&lt;&gt;"",ISNUMBER(SEARCH(Skills!$B$16,AU238)))),1,0))</f>
        <v/>
      </c>
      <c r="BJ238" s="23">
        <f>IF(AR238="","",SUMPRODUCT($AX238:$BI238,Skills!$B$20:$M$20))</f>
        <v/>
      </c>
      <c r="BK238" s="23">
        <f>IF(AR238="","",BJ238*100000+(100000-ROW()))</f>
        <v/>
      </c>
      <c r="BL238" s="31">
        <f>IF(AR238="","",IF((IF(AND(AX238=1,Skills!$B$20=1),Skills!$B$5&amp;", ","")&amp;IF(AND(AY238=1,Skills!$C$20=1),Skills!$B$6&amp;", ","")&amp;IF(AND(AZ238=1,Skills!$D$20=1),Skills!$B$7&amp;", ","")&amp;IF(AND(BA238=1,Skills!$E$20=1),Skills!$B$8&amp;", ","")&amp;IF(AND(BB238=1,Skills!$F$20=1),Skills!$B$9&amp;", ","")&amp;IF(AND(BC238=1,Skills!$G$20=1),Skills!$B$10&amp;", ","")&amp;IF(AND(BD238=1,Skills!$H$20=1),Skills!$B$11&amp;", ","")&amp;IF(AND(BE238=1,Skills!$I$20=1),Skills!$B$12&amp;", ","")&amp;IF(AND(BF238=1,Skills!$J$20=1),Skills!$B$13&amp;", ","")&amp;IF(AND(BG238=1,Skills!$K$20=1),Skills!$B$14&amp;", ","")&amp;IF(AND(BH238=1,Skills!$L$20=1),Skills!$B$15&amp;", ","")&amp;IF(AND(BI238=1,Skills!$M$20=1),Skills!$B$16&amp;", ",""))="","",LEFT(IF(AND(AX238=1,Skills!$B$20=1),Skills!$B$5&amp;", ","")&amp;IF(AND(AY238=1,Skills!$C$20=1),Skills!$B$6&amp;", ","")&amp;IF(AND(AZ238=1,Skills!$D$20=1),Skills!$B$7&amp;", ","")&amp;IF(AND(BA238=1,Skills!$E$20=1),Skills!$B$8&amp;", ","")&amp;IF(AND(BB238=1,Skills!$F$20=1),Skills!$B$9&amp;", ","")&amp;IF(AND(BC238=1,Skills!$G$20=1),Skills!$B$10&amp;", ","")&amp;IF(AND(BD238=1,Skills!$H$20=1),Skills!$B$11&amp;", ","")&amp;IF(AND(BE238=1,Skills!$I$20=1),Skills!$B$12&amp;", ","")&amp;IF(AND(BF238=1,Skills!$J$20=1),Skills!$B$13&amp;", ","")&amp;IF(AND(BG238=1,Skills!$K$20=1),Skills!$B$14&amp;", ","")&amp;IF(AND(BH238=1,Skills!$L$20=1),Skills!$B$15&amp;", ","")&amp;IF(AND(BI238=1,Skills!$M$20=1),Skills!$B$16&amp;", ",""),LEN(IF(AND(AX238=1,Skills!$B$20=1),Skills!$B$5&amp;", ","")&amp;IF(AND(AY238=1,Skills!$C$20=1),Skills!$B$6&amp;", ","")&amp;IF(AND(AZ238=1,Skills!$D$20=1),Skills!$B$7&amp;", ","")&amp;IF(AND(BA238=1,Skills!$E$20=1),Skills!$B$8&amp;", ","")&amp;IF(AND(BB238=1,Skills!$F$20=1),Skills!$B$9&amp;", ","")&amp;IF(AND(BC238=1,Skills!$G$20=1),Skills!$B$10&amp;", ","")&amp;IF(AND(BD238=1,Skills!$H$20=1),Skills!$B$11&amp;", ","")&amp;IF(AND(BE238=1,Skills!$I$20=1),Skills!$B$12&amp;", ","")&amp;IF(AND(BF238=1,Skills!$J$20=1),Skills!$B$13&amp;", ","")&amp;IF(AND(BG238=1,Skills!$K$20=1),Skills!$B$14&amp;", ","")&amp;IF(AND(BH238=1,Skills!$L$20=1),Skills!$B$15&amp;", ","")&amp;IF(AND(BI238=1,Skills!$M$20=1),Skills!$B$16&amp;", ",""))-2)))</f>
        <v/>
      </c>
    </row>
    <row r="239">
      <c r="AD239" s="20" t="n"/>
      <c r="AE239" s="20" t="n"/>
      <c r="AF239" s="20" t="n"/>
      <c r="AG239" s="20" t="n"/>
      <c r="AH239" s="20" t="n"/>
      <c r="AI239" s="20" t="n"/>
      <c r="AJ239" s="20" t="n"/>
      <c r="AK239" s="20" t="n"/>
      <c r="AL239" s="20" t="n"/>
      <c r="AM239" s="20" t="n"/>
      <c r="AN239" s="20" t="n"/>
      <c r="AO239" s="20" t="n"/>
      <c r="AP239" s="20" t="n"/>
      <c r="AR239" s="31">
        <f>IF(IFERROR(TRIM(INDEX($A239:$AB239,MATCH(Lists!$B$5,$A$1:$AB$1,0))&amp;""),"")&lt;&gt;"",IFERROR(TRIM(INDEX($A239:$AB239,MATCH(Lists!$B$5,$A$1:$AB$1,0))&amp;""),""),IFERROR(TRIM(INDEX($A239:$AB239,MATCH(Lists!$B$3,$A$1:$AB$1,0))&amp;""),""))</f>
        <v/>
      </c>
      <c r="AS239" s="31">
        <f>IF(AR239="","",IF(IFERROR(TRIM(INDEX($A239:$AB239,MATCH(Lists!$B$5,$A$1:$AB$1,0))&amp;""),"")&lt;&gt;"","Nominated","Applied"))</f>
        <v/>
      </c>
      <c r="AT239" s="31">
        <f>IF(AR239="","",IF(IFERROR(TRIM(INDEX($A239:$AB239,MATCH(Lists!$B$5,$A$1:$AB$1,0))&amp;""),"")&lt;&gt;"",IFERROR(TRIM(INDEX($A239:$AB239,MATCH(Lists!$B$6,$A$1:$AB$1,0))&amp;""),""),IFERROR(TRIM(INDEX($A239:$AB239,MATCH(Lists!$B$4,$A$1:$AB$1,0))&amp;""),"")))</f>
        <v/>
      </c>
      <c r="AU239" s="31">
        <f>IF(AR239="","",IFERROR(TRIM(INDEX($A239:$AB239,MATCH(Lists!$B$7,$A$1:$AB$1,0))&amp;""),""))</f>
        <v/>
      </c>
      <c r="AV239" s="31">
        <f>IF(AR239="","",IFERROR(TRIM(INDEX($A239:$AB239,MATCH(Lists!$B$9,$A$1:$AB$1,0))&amp;""),""))</f>
        <v/>
      </c>
      <c r="AW239" s="31">
        <f>IF(AR239="","",IFERROR(TRIM(INDEX($A239:$AB239,MATCH(Lists!$B$8,$A$1:$AB$1,0))&amp;""),""))</f>
        <v/>
      </c>
      <c r="AX239" s="23">
        <f>IF(AR239="","",IF(OR(TRIM(AE239&amp;"")&lt;&gt;"",AND(Skills!$B$5&lt;&gt;"",ISNUMBER(SEARCH(Skills!$B$5,AU239)))),1,0))</f>
        <v/>
      </c>
      <c r="AY239" s="23">
        <f>IF(AR239="","",IF(OR(TRIM(AF239&amp;"")&lt;&gt;"",AND(Skills!$B$6&lt;&gt;"",ISNUMBER(SEARCH(Skills!$B$6,AU239)))),1,0))</f>
        <v/>
      </c>
      <c r="AZ239" s="23">
        <f>IF(AR239="","",IF(OR(TRIM(AG239&amp;"")&lt;&gt;"",AND(Skills!$B$7&lt;&gt;"",ISNUMBER(SEARCH(Skills!$B$7,AU239)))),1,0))</f>
        <v/>
      </c>
      <c r="BA239" s="23">
        <f>IF(AR239="","",IF(OR(TRIM(AH239&amp;"")&lt;&gt;"",AND(Skills!$B$8&lt;&gt;"",ISNUMBER(SEARCH(Skills!$B$8,AU239)))),1,0))</f>
        <v/>
      </c>
      <c r="BB239" s="23">
        <f>IF(AR239="","",IF(OR(TRIM(AI239&amp;"")&lt;&gt;"",AND(Skills!$B$9&lt;&gt;"",ISNUMBER(SEARCH(Skills!$B$9,AU239)))),1,0))</f>
        <v/>
      </c>
      <c r="BC239" s="23">
        <f>IF(AR239="","",IF(OR(TRIM(AJ239&amp;"")&lt;&gt;"",AND(Skills!$B$10&lt;&gt;"",ISNUMBER(SEARCH(Skills!$B$10,AU239)))),1,0))</f>
        <v/>
      </c>
      <c r="BD239" s="23">
        <f>IF(AR239="","",IF(OR(TRIM(AK239&amp;"")&lt;&gt;"",AND(Skills!$B$11&lt;&gt;"",ISNUMBER(SEARCH(Skills!$B$11,AU239)))),1,0))</f>
        <v/>
      </c>
      <c r="BE239" s="23">
        <f>IF(AR239="","",IF(OR(TRIM(AL239&amp;"")&lt;&gt;"",AND(Skills!$B$12&lt;&gt;"",ISNUMBER(SEARCH(Skills!$B$12,AU239)))),1,0))</f>
        <v/>
      </c>
      <c r="BF239" s="23">
        <f>IF(AR239="","",IF(OR(TRIM(AM239&amp;"")&lt;&gt;"",AND(Skills!$B$13&lt;&gt;"",ISNUMBER(SEARCH(Skills!$B$13,AU239)))),1,0))</f>
        <v/>
      </c>
      <c r="BG239" s="23">
        <f>IF(AR239="","",IF(OR(TRIM(AN239&amp;"")&lt;&gt;"",AND(Skills!$B$14&lt;&gt;"",ISNUMBER(SEARCH(Skills!$B$14,AU239)))),1,0))</f>
        <v/>
      </c>
      <c r="BH239" s="23">
        <f>IF(AR239="","",IF(OR(TRIM(AO239&amp;"")&lt;&gt;"",AND(Skills!$B$15&lt;&gt;"",ISNUMBER(SEARCH(Skills!$B$15,AU239)))),1,0))</f>
        <v/>
      </c>
      <c r="BI239" s="23">
        <f>IF(AR239="","",IF(OR(TRIM(AP239&amp;"")&lt;&gt;"",AND(Skills!$B$16&lt;&gt;"",ISNUMBER(SEARCH(Skills!$B$16,AU239)))),1,0))</f>
        <v/>
      </c>
      <c r="BJ239" s="23">
        <f>IF(AR239="","",SUMPRODUCT($AX239:$BI239,Skills!$B$20:$M$20))</f>
        <v/>
      </c>
      <c r="BK239" s="23">
        <f>IF(AR239="","",BJ239*100000+(100000-ROW()))</f>
        <v/>
      </c>
      <c r="BL239" s="31">
        <f>IF(AR239="","",IF((IF(AND(AX239=1,Skills!$B$20=1),Skills!$B$5&amp;", ","")&amp;IF(AND(AY239=1,Skills!$C$20=1),Skills!$B$6&amp;", ","")&amp;IF(AND(AZ239=1,Skills!$D$20=1),Skills!$B$7&amp;", ","")&amp;IF(AND(BA239=1,Skills!$E$20=1),Skills!$B$8&amp;", ","")&amp;IF(AND(BB239=1,Skills!$F$20=1),Skills!$B$9&amp;", ","")&amp;IF(AND(BC239=1,Skills!$G$20=1),Skills!$B$10&amp;", ","")&amp;IF(AND(BD239=1,Skills!$H$20=1),Skills!$B$11&amp;", ","")&amp;IF(AND(BE239=1,Skills!$I$20=1),Skills!$B$12&amp;", ","")&amp;IF(AND(BF239=1,Skills!$J$20=1),Skills!$B$13&amp;", ","")&amp;IF(AND(BG239=1,Skills!$K$20=1),Skills!$B$14&amp;", ","")&amp;IF(AND(BH239=1,Skills!$L$20=1),Skills!$B$15&amp;", ","")&amp;IF(AND(BI239=1,Skills!$M$20=1),Skills!$B$16&amp;", ",""))="","",LEFT(IF(AND(AX239=1,Skills!$B$20=1),Skills!$B$5&amp;", ","")&amp;IF(AND(AY239=1,Skills!$C$20=1),Skills!$B$6&amp;", ","")&amp;IF(AND(AZ239=1,Skills!$D$20=1),Skills!$B$7&amp;", ","")&amp;IF(AND(BA239=1,Skills!$E$20=1),Skills!$B$8&amp;", ","")&amp;IF(AND(BB239=1,Skills!$F$20=1),Skills!$B$9&amp;", ","")&amp;IF(AND(BC239=1,Skills!$G$20=1),Skills!$B$10&amp;", ","")&amp;IF(AND(BD239=1,Skills!$H$20=1),Skills!$B$11&amp;", ","")&amp;IF(AND(BE239=1,Skills!$I$20=1),Skills!$B$12&amp;", ","")&amp;IF(AND(BF239=1,Skills!$J$20=1),Skills!$B$13&amp;", ","")&amp;IF(AND(BG239=1,Skills!$K$20=1),Skills!$B$14&amp;", ","")&amp;IF(AND(BH239=1,Skills!$L$20=1),Skills!$B$15&amp;", ","")&amp;IF(AND(BI239=1,Skills!$M$20=1),Skills!$B$16&amp;", ",""),LEN(IF(AND(AX239=1,Skills!$B$20=1),Skills!$B$5&amp;", ","")&amp;IF(AND(AY239=1,Skills!$C$20=1),Skills!$B$6&amp;", ","")&amp;IF(AND(AZ239=1,Skills!$D$20=1),Skills!$B$7&amp;", ","")&amp;IF(AND(BA239=1,Skills!$E$20=1),Skills!$B$8&amp;", ","")&amp;IF(AND(BB239=1,Skills!$F$20=1),Skills!$B$9&amp;", ","")&amp;IF(AND(BC239=1,Skills!$G$20=1),Skills!$B$10&amp;", ","")&amp;IF(AND(BD239=1,Skills!$H$20=1),Skills!$B$11&amp;", ","")&amp;IF(AND(BE239=1,Skills!$I$20=1),Skills!$B$12&amp;", ","")&amp;IF(AND(BF239=1,Skills!$J$20=1),Skills!$B$13&amp;", ","")&amp;IF(AND(BG239=1,Skills!$K$20=1),Skills!$B$14&amp;", ","")&amp;IF(AND(BH239=1,Skills!$L$20=1),Skills!$B$15&amp;", ","")&amp;IF(AND(BI239=1,Skills!$M$20=1),Skills!$B$16&amp;", ",""))-2)))</f>
        <v/>
      </c>
    </row>
    <row r="240">
      <c r="AD240" s="20" t="n"/>
      <c r="AE240" s="20" t="n"/>
      <c r="AF240" s="20" t="n"/>
      <c r="AG240" s="20" t="n"/>
      <c r="AH240" s="20" t="n"/>
      <c r="AI240" s="20" t="n"/>
      <c r="AJ240" s="20" t="n"/>
      <c r="AK240" s="20" t="n"/>
      <c r="AL240" s="20" t="n"/>
      <c r="AM240" s="20" t="n"/>
      <c r="AN240" s="20" t="n"/>
      <c r="AO240" s="20" t="n"/>
      <c r="AP240" s="20" t="n"/>
      <c r="AR240" s="31">
        <f>IF(IFERROR(TRIM(INDEX($A240:$AB240,MATCH(Lists!$B$5,$A$1:$AB$1,0))&amp;""),"")&lt;&gt;"",IFERROR(TRIM(INDEX($A240:$AB240,MATCH(Lists!$B$5,$A$1:$AB$1,0))&amp;""),""),IFERROR(TRIM(INDEX($A240:$AB240,MATCH(Lists!$B$3,$A$1:$AB$1,0))&amp;""),""))</f>
        <v/>
      </c>
      <c r="AS240" s="31">
        <f>IF(AR240="","",IF(IFERROR(TRIM(INDEX($A240:$AB240,MATCH(Lists!$B$5,$A$1:$AB$1,0))&amp;""),"")&lt;&gt;"","Nominated","Applied"))</f>
        <v/>
      </c>
      <c r="AT240" s="31">
        <f>IF(AR240="","",IF(IFERROR(TRIM(INDEX($A240:$AB240,MATCH(Lists!$B$5,$A$1:$AB$1,0))&amp;""),"")&lt;&gt;"",IFERROR(TRIM(INDEX($A240:$AB240,MATCH(Lists!$B$6,$A$1:$AB$1,0))&amp;""),""),IFERROR(TRIM(INDEX($A240:$AB240,MATCH(Lists!$B$4,$A$1:$AB$1,0))&amp;""),"")))</f>
        <v/>
      </c>
      <c r="AU240" s="31">
        <f>IF(AR240="","",IFERROR(TRIM(INDEX($A240:$AB240,MATCH(Lists!$B$7,$A$1:$AB$1,0))&amp;""),""))</f>
        <v/>
      </c>
      <c r="AV240" s="31">
        <f>IF(AR240="","",IFERROR(TRIM(INDEX($A240:$AB240,MATCH(Lists!$B$9,$A$1:$AB$1,0))&amp;""),""))</f>
        <v/>
      </c>
      <c r="AW240" s="31">
        <f>IF(AR240="","",IFERROR(TRIM(INDEX($A240:$AB240,MATCH(Lists!$B$8,$A$1:$AB$1,0))&amp;""),""))</f>
        <v/>
      </c>
      <c r="AX240" s="23">
        <f>IF(AR240="","",IF(OR(TRIM(AE240&amp;"")&lt;&gt;"",AND(Skills!$B$5&lt;&gt;"",ISNUMBER(SEARCH(Skills!$B$5,AU240)))),1,0))</f>
        <v/>
      </c>
      <c r="AY240" s="23">
        <f>IF(AR240="","",IF(OR(TRIM(AF240&amp;"")&lt;&gt;"",AND(Skills!$B$6&lt;&gt;"",ISNUMBER(SEARCH(Skills!$B$6,AU240)))),1,0))</f>
        <v/>
      </c>
      <c r="AZ240" s="23">
        <f>IF(AR240="","",IF(OR(TRIM(AG240&amp;"")&lt;&gt;"",AND(Skills!$B$7&lt;&gt;"",ISNUMBER(SEARCH(Skills!$B$7,AU240)))),1,0))</f>
        <v/>
      </c>
      <c r="BA240" s="23">
        <f>IF(AR240="","",IF(OR(TRIM(AH240&amp;"")&lt;&gt;"",AND(Skills!$B$8&lt;&gt;"",ISNUMBER(SEARCH(Skills!$B$8,AU240)))),1,0))</f>
        <v/>
      </c>
      <c r="BB240" s="23">
        <f>IF(AR240="","",IF(OR(TRIM(AI240&amp;"")&lt;&gt;"",AND(Skills!$B$9&lt;&gt;"",ISNUMBER(SEARCH(Skills!$B$9,AU240)))),1,0))</f>
        <v/>
      </c>
      <c r="BC240" s="23">
        <f>IF(AR240="","",IF(OR(TRIM(AJ240&amp;"")&lt;&gt;"",AND(Skills!$B$10&lt;&gt;"",ISNUMBER(SEARCH(Skills!$B$10,AU240)))),1,0))</f>
        <v/>
      </c>
      <c r="BD240" s="23">
        <f>IF(AR240="","",IF(OR(TRIM(AK240&amp;"")&lt;&gt;"",AND(Skills!$B$11&lt;&gt;"",ISNUMBER(SEARCH(Skills!$B$11,AU240)))),1,0))</f>
        <v/>
      </c>
      <c r="BE240" s="23">
        <f>IF(AR240="","",IF(OR(TRIM(AL240&amp;"")&lt;&gt;"",AND(Skills!$B$12&lt;&gt;"",ISNUMBER(SEARCH(Skills!$B$12,AU240)))),1,0))</f>
        <v/>
      </c>
      <c r="BF240" s="23">
        <f>IF(AR240="","",IF(OR(TRIM(AM240&amp;"")&lt;&gt;"",AND(Skills!$B$13&lt;&gt;"",ISNUMBER(SEARCH(Skills!$B$13,AU240)))),1,0))</f>
        <v/>
      </c>
      <c r="BG240" s="23">
        <f>IF(AR240="","",IF(OR(TRIM(AN240&amp;"")&lt;&gt;"",AND(Skills!$B$14&lt;&gt;"",ISNUMBER(SEARCH(Skills!$B$14,AU240)))),1,0))</f>
        <v/>
      </c>
      <c r="BH240" s="23">
        <f>IF(AR240="","",IF(OR(TRIM(AO240&amp;"")&lt;&gt;"",AND(Skills!$B$15&lt;&gt;"",ISNUMBER(SEARCH(Skills!$B$15,AU240)))),1,0))</f>
        <v/>
      </c>
      <c r="BI240" s="23">
        <f>IF(AR240="","",IF(OR(TRIM(AP240&amp;"")&lt;&gt;"",AND(Skills!$B$16&lt;&gt;"",ISNUMBER(SEARCH(Skills!$B$16,AU240)))),1,0))</f>
        <v/>
      </c>
      <c r="BJ240" s="23">
        <f>IF(AR240="","",SUMPRODUCT($AX240:$BI240,Skills!$B$20:$M$20))</f>
        <v/>
      </c>
      <c r="BK240" s="23">
        <f>IF(AR240="","",BJ240*100000+(100000-ROW()))</f>
        <v/>
      </c>
      <c r="BL240" s="31">
        <f>IF(AR240="","",IF((IF(AND(AX240=1,Skills!$B$20=1),Skills!$B$5&amp;", ","")&amp;IF(AND(AY240=1,Skills!$C$20=1),Skills!$B$6&amp;", ","")&amp;IF(AND(AZ240=1,Skills!$D$20=1),Skills!$B$7&amp;", ","")&amp;IF(AND(BA240=1,Skills!$E$20=1),Skills!$B$8&amp;", ","")&amp;IF(AND(BB240=1,Skills!$F$20=1),Skills!$B$9&amp;", ","")&amp;IF(AND(BC240=1,Skills!$G$20=1),Skills!$B$10&amp;", ","")&amp;IF(AND(BD240=1,Skills!$H$20=1),Skills!$B$11&amp;", ","")&amp;IF(AND(BE240=1,Skills!$I$20=1),Skills!$B$12&amp;", ","")&amp;IF(AND(BF240=1,Skills!$J$20=1),Skills!$B$13&amp;", ","")&amp;IF(AND(BG240=1,Skills!$K$20=1),Skills!$B$14&amp;", ","")&amp;IF(AND(BH240=1,Skills!$L$20=1),Skills!$B$15&amp;", ","")&amp;IF(AND(BI240=1,Skills!$M$20=1),Skills!$B$16&amp;", ",""))="","",LEFT(IF(AND(AX240=1,Skills!$B$20=1),Skills!$B$5&amp;", ","")&amp;IF(AND(AY240=1,Skills!$C$20=1),Skills!$B$6&amp;", ","")&amp;IF(AND(AZ240=1,Skills!$D$20=1),Skills!$B$7&amp;", ","")&amp;IF(AND(BA240=1,Skills!$E$20=1),Skills!$B$8&amp;", ","")&amp;IF(AND(BB240=1,Skills!$F$20=1),Skills!$B$9&amp;", ","")&amp;IF(AND(BC240=1,Skills!$G$20=1),Skills!$B$10&amp;", ","")&amp;IF(AND(BD240=1,Skills!$H$20=1),Skills!$B$11&amp;", ","")&amp;IF(AND(BE240=1,Skills!$I$20=1),Skills!$B$12&amp;", ","")&amp;IF(AND(BF240=1,Skills!$J$20=1),Skills!$B$13&amp;", ","")&amp;IF(AND(BG240=1,Skills!$K$20=1),Skills!$B$14&amp;", ","")&amp;IF(AND(BH240=1,Skills!$L$20=1),Skills!$B$15&amp;", ","")&amp;IF(AND(BI240=1,Skills!$M$20=1),Skills!$B$16&amp;", ",""),LEN(IF(AND(AX240=1,Skills!$B$20=1),Skills!$B$5&amp;", ","")&amp;IF(AND(AY240=1,Skills!$C$20=1),Skills!$B$6&amp;", ","")&amp;IF(AND(AZ240=1,Skills!$D$20=1),Skills!$B$7&amp;", ","")&amp;IF(AND(BA240=1,Skills!$E$20=1),Skills!$B$8&amp;", ","")&amp;IF(AND(BB240=1,Skills!$F$20=1),Skills!$B$9&amp;", ","")&amp;IF(AND(BC240=1,Skills!$G$20=1),Skills!$B$10&amp;", ","")&amp;IF(AND(BD240=1,Skills!$H$20=1),Skills!$B$11&amp;", ","")&amp;IF(AND(BE240=1,Skills!$I$20=1),Skills!$B$12&amp;", ","")&amp;IF(AND(BF240=1,Skills!$J$20=1),Skills!$B$13&amp;", ","")&amp;IF(AND(BG240=1,Skills!$K$20=1),Skills!$B$14&amp;", ","")&amp;IF(AND(BH240=1,Skills!$L$20=1),Skills!$B$15&amp;", ","")&amp;IF(AND(BI240=1,Skills!$M$20=1),Skills!$B$16&amp;", ",""))-2)))</f>
        <v/>
      </c>
    </row>
    <row r="241">
      <c r="AD241" s="20" t="n"/>
      <c r="AE241" s="20" t="n"/>
      <c r="AF241" s="20" t="n"/>
      <c r="AG241" s="20" t="n"/>
      <c r="AH241" s="20" t="n"/>
      <c r="AI241" s="20" t="n"/>
      <c r="AJ241" s="20" t="n"/>
      <c r="AK241" s="20" t="n"/>
      <c r="AL241" s="20" t="n"/>
      <c r="AM241" s="20" t="n"/>
      <c r="AN241" s="20" t="n"/>
      <c r="AO241" s="20" t="n"/>
      <c r="AP241" s="20" t="n"/>
      <c r="AR241" s="31">
        <f>IF(IFERROR(TRIM(INDEX($A241:$AB241,MATCH(Lists!$B$5,$A$1:$AB$1,0))&amp;""),"")&lt;&gt;"",IFERROR(TRIM(INDEX($A241:$AB241,MATCH(Lists!$B$5,$A$1:$AB$1,0))&amp;""),""),IFERROR(TRIM(INDEX($A241:$AB241,MATCH(Lists!$B$3,$A$1:$AB$1,0))&amp;""),""))</f>
        <v/>
      </c>
      <c r="AS241" s="31">
        <f>IF(AR241="","",IF(IFERROR(TRIM(INDEX($A241:$AB241,MATCH(Lists!$B$5,$A$1:$AB$1,0))&amp;""),"")&lt;&gt;"","Nominated","Applied"))</f>
        <v/>
      </c>
      <c r="AT241" s="31">
        <f>IF(AR241="","",IF(IFERROR(TRIM(INDEX($A241:$AB241,MATCH(Lists!$B$5,$A$1:$AB$1,0))&amp;""),"")&lt;&gt;"",IFERROR(TRIM(INDEX($A241:$AB241,MATCH(Lists!$B$6,$A$1:$AB$1,0))&amp;""),""),IFERROR(TRIM(INDEX($A241:$AB241,MATCH(Lists!$B$4,$A$1:$AB$1,0))&amp;""),"")))</f>
        <v/>
      </c>
      <c r="AU241" s="31">
        <f>IF(AR241="","",IFERROR(TRIM(INDEX($A241:$AB241,MATCH(Lists!$B$7,$A$1:$AB$1,0))&amp;""),""))</f>
        <v/>
      </c>
      <c r="AV241" s="31">
        <f>IF(AR241="","",IFERROR(TRIM(INDEX($A241:$AB241,MATCH(Lists!$B$9,$A$1:$AB$1,0))&amp;""),""))</f>
        <v/>
      </c>
      <c r="AW241" s="31">
        <f>IF(AR241="","",IFERROR(TRIM(INDEX($A241:$AB241,MATCH(Lists!$B$8,$A$1:$AB$1,0))&amp;""),""))</f>
        <v/>
      </c>
      <c r="AX241" s="23">
        <f>IF(AR241="","",IF(OR(TRIM(AE241&amp;"")&lt;&gt;"",AND(Skills!$B$5&lt;&gt;"",ISNUMBER(SEARCH(Skills!$B$5,AU241)))),1,0))</f>
        <v/>
      </c>
      <c r="AY241" s="23">
        <f>IF(AR241="","",IF(OR(TRIM(AF241&amp;"")&lt;&gt;"",AND(Skills!$B$6&lt;&gt;"",ISNUMBER(SEARCH(Skills!$B$6,AU241)))),1,0))</f>
        <v/>
      </c>
      <c r="AZ241" s="23">
        <f>IF(AR241="","",IF(OR(TRIM(AG241&amp;"")&lt;&gt;"",AND(Skills!$B$7&lt;&gt;"",ISNUMBER(SEARCH(Skills!$B$7,AU241)))),1,0))</f>
        <v/>
      </c>
      <c r="BA241" s="23">
        <f>IF(AR241="","",IF(OR(TRIM(AH241&amp;"")&lt;&gt;"",AND(Skills!$B$8&lt;&gt;"",ISNUMBER(SEARCH(Skills!$B$8,AU241)))),1,0))</f>
        <v/>
      </c>
      <c r="BB241" s="23">
        <f>IF(AR241="","",IF(OR(TRIM(AI241&amp;"")&lt;&gt;"",AND(Skills!$B$9&lt;&gt;"",ISNUMBER(SEARCH(Skills!$B$9,AU241)))),1,0))</f>
        <v/>
      </c>
      <c r="BC241" s="23">
        <f>IF(AR241="","",IF(OR(TRIM(AJ241&amp;"")&lt;&gt;"",AND(Skills!$B$10&lt;&gt;"",ISNUMBER(SEARCH(Skills!$B$10,AU241)))),1,0))</f>
        <v/>
      </c>
      <c r="BD241" s="23">
        <f>IF(AR241="","",IF(OR(TRIM(AK241&amp;"")&lt;&gt;"",AND(Skills!$B$11&lt;&gt;"",ISNUMBER(SEARCH(Skills!$B$11,AU241)))),1,0))</f>
        <v/>
      </c>
      <c r="BE241" s="23">
        <f>IF(AR241="","",IF(OR(TRIM(AL241&amp;"")&lt;&gt;"",AND(Skills!$B$12&lt;&gt;"",ISNUMBER(SEARCH(Skills!$B$12,AU241)))),1,0))</f>
        <v/>
      </c>
      <c r="BF241" s="23">
        <f>IF(AR241="","",IF(OR(TRIM(AM241&amp;"")&lt;&gt;"",AND(Skills!$B$13&lt;&gt;"",ISNUMBER(SEARCH(Skills!$B$13,AU241)))),1,0))</f>
        <v/>
      </c>
      <c r="BG241" s="23">
        <f>IF(AR241="","",IF(OR(TRIM(AN241&amp;"")&lt;&gt;"",AND(Skills!$B$14&lt;&gt;"",ISNUMBER(SEARCH(Skills!$B$14,AU241)))),1,0))</f>
        <v/>
      </c>
      <c r="BH241" s="23">
        <f>IF(AR241="","",IF(OR(TRIM(AO241&amp;"")&lt;&gt;"",AND(Skills!$B$15&lt;&gt;"",ISNUMBER(SEARCH(Skills!$B$15,AU241)))),1,0))</f>
        <v/>
      </c>
      <c r="BI241" s="23">
        <f>IF(AR241="","",IF(OR(TRIM(AP241&amp;"")&lt;&gt;"",AND(Skills!$B$16&lt;&gt;"",ISNUMBER(SEARCH(Skills!$B$16,AU241)))),1,0))</f>
        <v/>
      </c>
      <c r="BJ241" s="23">
        <f>IF(AR241="","",SUMPRODUCT($AX241:$BI241,Skills!$B$20:$M$20))</f>
        <v/>
      </c>
      <c r="BK241" s="23">
        <f>IF(AR241="","",BJ241*100000+(100000-ROW()))</f>
        <v/>
      </c>
      <c r="BL241" s="31">
        <f>IF(AR241="","",IF((IF(AND(AX241=1,Skills!$B$20=1),Skills!$B$5&amp;", ","")&amp;IF(AND(AY241=1,Skills!$C$20=1),Skills!$B$6&amp;", ","")&amp;IF(AND(AZ241=1,Skills!$D$20=1),Skills!$B$7&amp;", ","")&amp;IF(AND(BA241=1,Skills!$E$20=1),Skills!$B$8&amp;", ","")&amp;IF(AND(BB241=1,Skills!$F$20=1),Skills!$B$9&amp;", ","")&amp;IF(AND(BC241=1,Skills!$G$20=1),Skills!$B$10&amp;", ","")&amp;IF(AND(BD241=1,Skills!$H$20=1),Skills!$B$11&amp;", ","")&amp;IF(AND(BE241=1,Skills!$I$20=1),Skills!$B$12&amp;", ","")&amp;IF(AND(BF241=1,Skills!$J$20=1),Skills!$B$13&amp;", ","")&amp;IF(AND(BG241=1,Skills!$K$20=1),Skills!$B$14&amp;", ","")&amp;IF(AND(BH241=1,Skills!$L$20=1),Skills!$B$15&amp;", ","")&amp;IF(AND(BI241=1,Skills!$M$20=1),Skills!$B$16&amp;", ",""))="","",LEFT(IF(AND(AX241=1,Skills!$B$20=1),Skills!$B$5&amp;", ","")&amp;IF(AND(AY241=1,Skills!$C$20=1),Skills!$B$6&amp;", ","")&amp;IF(AND(AZ241=1,Skills!$D$20=1),Skills!$B$7&amp;", ","")&amp;IF(AND(BA241=1,Skills!$E$20=1),Skills!$B$8&amp;", ","")&amp;IF(AND(BB241=1,Skills!$F$20=1),Skills!$B$9&amp;", ","")&amp;IF(AND(BC241=1,Skills!$G$20=1),Skills!$B$10&amp;", ","")&amp;IF(AND(BD241=1,Skills!$H$20=1),Skills!$B$11&amp;", ","")&amp;IF(AND(BE241=1,Skills!$I$20=1),Skills!$B$12&amp;", ","")&amp;IF(AND(BF241=1,Skills!$J$20=1),Skills!$B$13&amp;", ","")&amp;IF(AND(BG241=1,Skills!$K$20=1),Skills!$B$14&amp;", ","")&amp;IF(AND(BH241=1,Skills!$L$20=1),Skills!$B$15&amp;", ","")&amp;IF(AND(BI241=1,Skills!$M$20=1),Skills!$B$16&amp;", ",""),LEN(IF(AND(AX241=1,Skills!$B$20=1),Skills!$B$5&amp;", ","")&amp;IF(AND(AY241=1,Skills!$C$20=1),Skills!$B$6&amp;", ","")&amp;IF(AND(AZ241=1,Skills!$D$20=1),Skills!$B$7&amp;", ","")&amp;IF(AND(BA241=1,Skills!$E$20=1),Skills!$B$8&amp;", ","")&amp;IF(AND(BB241=1,Skills!$F$20=1),Skills!$B$9&amp;", ","")&amp;IF(AND(BC241=1,Skills!$G$20=1),Skills!$B$10&amp;", ","")&amp;IF(AND(BD241=1,Skills!$H$20=1),Skills!$B$11&amp;", ","")&amp;IF(AND(BE241=1,Skills!$I$20=1),Skills!$B$12&amp;", ","")&amp;IF(AND(BF241=1,Skills!$J$20=1),Skills!$B$13&amp;", ","")&amp;IF(AND(BG241=1,Skills!$K$20=1),Skills!$B$14&amp;", ","")&amp;IF(AND(BH241=1,Skills!$L$20=1),Skills!$B$15&amp;", ","")&amp;IF(AND(BI241=1,Skills!$M$20=1),Skills!$B$16&amp;", ",""))-2)))</f>
        <v/>
      </c>
    </row>
    <row r="242">
      <c r="AD242" s="20" t="n"/>
      <c r="AE242" s="20" t="n"/>
      <c r="AF242" s="20" t="n"/>
      <c r="AG242" s="20" t="n"/>
      <c r="AH242" s="20" t="n"/>
      <c r="AI242" s="20" t="n"/>
      <c r="AJ242" s="20" t="n"/>
      <c r="AK242" s="20" t="n"/>
      <c r="AL242" s="20" t="n"/>
      <c r="AM242" s="20" t="n"/>
      <c r="AN242" s="20" t="n"/>
      <c r="AO242" s="20" t="n"/>
      <c r="AP242" s="20" t="n"/>
      <c r="AR242" s="31">
        <f>IF(IFERROR(TRIM(INDEX($A242:$AB242,MATCH(Lists!$B$5,$A$1:$AB$1,0))&amp;""),"")&lt;&gt;"",IFERROR(TRIM(INDEX($A242:$AB242,MATCH(Lists!$B$5,$A$1:$AB$1,0))&amp;""),""),IFERROR(TRIM(INDEX($A242:$AB242,MATCH(Lists!$B$3,$A$1:$AB$1,0))&amp;""),""))</f>
        <v/>
      </c>
      <c r="AS242" s="31">
        <f>IF(AR242="","",IF(IFERROR(TRIM(INDEX($A242:$AB242,MATCH(Lists!$B$5,$A$1:$AB$1,0))&amp;""),"")&lt;&gt;"","Nominated","Applied"))</f>
        <v/>
      </c>
      <c r="AT242" s="31">
        <f>IF(AR242="","",IF(IFERROR(TRIM(INDEX($A242:$AB242,MATCH(Lists!$B$5,$A$1:$AB$1,0))&amp;""),"")&lt;&gt;"",IFERROR(TRIM(INDEX($A242:$AB242,MATCH(Lists!$B$6,$A$1:$AB$1,0))&amp;""),""),IFERROR(TRIM(INDEX($A242:$AB242,MATCH(Lists!$B$4,$A$1:$AB$1,0))&amp;""),"")))</f>
        <v/>
      </c>
      <c r="AU242" s="31">
        <f>IF(AR242="","",IFERROR(TRIM(INDEX($A242:$AB242,MATCH(Lists!$B$7,$A$1:$AB$1,0))&amp;""),""))</f>
        <v/>
      </c>
      <c r="AV242" s="31">
        <f>IF(AR242="","",IFERROR(TRIM(INDEX($A242:$AB242,MATCH(Lists!$B$9,$A$1:$AB$1,0))&amp;""),""))</f>
        <v/>
      </c>
      <c r="AW242" s="31">
        <f>IF(AR242="","",IFERROR(TRIM(INDEX($A242:$AB242,MATCH(Lists!$B$8,$A$1:$AB$1,0))&amp;""),""))</f>
        <v/>
      </c>
      <c r="AX242" s="23">
        <f>IF(AR242="","",IF(OR(TRIM(AE242&amp;"")&lt;&gt;"",AND(Skills!$B$5&lt;&gt;"",ISNUMBER(SEARCH(Skills!$B$5,AU242)))),1,0))</f>
        <v/>
      </c>
      <c r="AY242" s="23">
        <f>IF(AR242="","",IF(OR(TRIM(AF242&amp;"")&lt;&gt;"",AND(Skills!$B$6&lt;&gt;"",ISNUMBER(SEARCH(Skills!$B$6,AU242)))),1,0))</f>
        <v/>
      </c>
      <c r="AZ242" s="23">
        <f>IF(AR242="","",IF(OR(TRIM(AG242&amp;"")&lt;&gt;"",AND(Skills!$B$7&lt;&gt;"",ISNUMBER(SEARCH(Skills!$B$7,AU242)))),1,0))</f>
        <v/>
      </c>
      <c r="BA242" s="23">
        <f>IF(AR242="","",IF(OR(TRIM(AH242&amp;"")&lt;&gt;"",AND(Skills!$B$8&lt;&gt;"",ISNUMBER(SEARCH(Skills!$B$8,AU242)))),1,0))</f>
        <v/>
      </c>
      <c r="BB242" s="23">
        <f>IF(AR242="","",IF(OR(TRIM(AI242&amp;"")&lt;&gt;"",AND(Skills!$B$9&lt;&gt;"",ISNUMBER(SEARCH(Skills!$B$9,AU242)))),1,0))</f>
        <v/>
      </c>
      <c r="BC242" s="23">
        <f>IF(AR242="","",IF(OR(TRIM(AJ242&amp;"")&lt;&gt;"",AND(Skills!$B$10&lt;&gt;"",ISNUMBER(SEARCH(Skills!$B$10,AU242)))),1,0))</f>
        <v/>
      </c>
      <c r="BD242" s="23">
        <f>IF(AR242="","",IF(OR(TRIM(AK242&amp;"")&lt;&gt;"",AND(Skills!$B$11&lt;&gt;"",ISNUMBER(SEARCH(Skills!$B$11,AU242)))),1,0))</f>
        <v/>
      </c>
      <c r="BE242" s="23">
        <f>IF(AR242="","",IF(OR(TRIM(AL242&amp;"")&lt;&gt;"",AND(Skills!$B$12&lt;&gt;"",ISNUMBER(SEARCH(Skills!$B$12,AU242)))),1,0))</f>
        <v/>
      </c>
      <c r="BF242" s="23">
        <f>IF(AR242="","",IF(OR(TRIM(AM242&amp;"")&lt;&gt;"",AND(Skills!$B$13&lt;&gt;"",ISNUMBER(SEARCH(Skills!$B$13,AU242)))),1,0))</f>
        <v/>
      </c>
      <c r="BG242" s="23">
        <f>IF(AR242="","",IF(OR(TRIM(AN242&amp;"")&lt;&gt;"",AND(Skills!$B$14&lt;&gt;"",ISNUMBER(SEARCH(Skills!$B$14,AU242)))),1,0))</f>
        <v/>
      </c>
      <c r="BH242" s="23">
        <f>IF(AR242="","",IF(OR(TRIM(AO242&amp;"")&lt;&gt;"",AND(Skills!$B$15&lt;&gt;"",ISNUMBER(SEARCH(Skills!$B$15,AU242)))),1,0))</f>
        <v/>
      </c>
      <c r="BI242" s="23">
        <f>IF(AR242="","",IF(OR(TRIM(AP242&amp;"")&lt;&gt;"",AND(Skills!$B$16&lt;&gt;"",ISNUMBER(SEARCH(Skills!$B$16,AU242)))),1,0))</f>
        <v/>
      </c>
      <c r="BJ242" s="23">
        <f>IF(AR242="","",SUMPRODUCT($AX242:$BI242,Skills!$B$20:$M$20))</f>
        <v/>
      </c>
      <c r="BK242" s="23">
        <f>IF(AR242="","",BJ242*100000+(100000-ROW()))</f>
        <v/>
      </c>
      <c r="BL242" s="31">
        <f>IF(AR242="","",IF((IF(AND(AX242=1,Skills!$B$20=1),Skills!$B$5&amp;", ","")&amp;IF(AND(AY242=1,Skills!$C$20=1),Skills!$B$6&amp;", ","")&amp;IF(AND(AZ242=1,Skills!$D$20=1),Skills!$B$7&amp;", ","")&amp;IF(AND(BA242=1,Skills!$E$20=1),Skills!$B$8&amp;", ","")&amp;IF(AND(BB242=1,Skills!$F$20=1),Skills!$B$9&amp;", ","")&amp;IF(AND(BC242=1,Skills!$G$20=1),Skills!$B$10&amp;", ","")&amp;IF(AND(BD242=1,Skills!$H$20=1),Skills!$B$11&amp;", ","")&amp;IF(AND(BE242=1,Skills!$I$20=1),Skills!$B$12&amp;", ","")&amp;IF(AND(BF242=1,Skills!$J$20=1),Skills!$B$13&amp;", ","")&amp;IF(AND(BG242=1,Skills!$K$20=1),Skills!$B$14&amp;", ","")&amp;IF(AND(BH242=1,Skills!$L$20=1),Skills!$B$15&amp;", ","")&amp;IF(AND(BI242=1,Skills!$M$20=1),Skills!$B$16&amp;", ",""))="","",LEFT(IF(AND(AX242=1,Skills!$B$20=1),Skills!$B$5&amp;", ","")&amp;IF(AND(AY242=1,Skills!$C$20=1),Skills!$B$6&amp;", ","")&amp;IF(AND(AZ242=1,Skills!$D$20=1),Skills!$B$7&amp;", ","")&amp;IF(AND(BA242=1,Skills!$E$20=1),Skills!$B$8&amp;", ","")&amp;IF(AND(BB242=1,Skills!$F$20=1),Skills!$B$9&amp;", ","")&amp;IF(AND(BC242=1,Skills!$G$20=1),Skills!$B$10&amp;", ","")&amp;IF(AND(BD242=1,Skills!$H$20=1),Skills!$B$11&amp;", ","")&amp;IF(AND(BE242=1,Skills!$I$20=1),Skills!$B$12&amp;", ","")&amp;IF(AND(BF242=1,Skills!$J$20=1),Skills!$B$13&amp;", ","")&amp;IF(AND(BG242=1,Skills!$K$20=1),Skills!$B$14&amp;", ","")&amp;IF(AND(BH242=1,Skills!$L$20=1),Skills!$B$15&amp;", ","")&amp;IF(AND(BI242=1,Skills!$M$20=1),Skills!$B$16&amp;", ",""),LEN(IF(AND(AX242=1,Skills!$B$20=1),Skills!$B$5&amp;", ","")&amp;IF(AND(AY242=1,Skills!$C$20=1),Skills!$B$6&amp;", ","")&amp;IF(AND(AZ242=1,Skills!$D$20=1),Skills!$B$7&amp;", ","")&amp;IF(AND(BA242=1,Skills!$E$20=1),Skills!$B$8&amp;", ","")&amp;IF(AND(BB242=1,Skills!$F$20=1),Skills!$B$9&amp;", ","")&amp;IF(AND(BC242=1,Skills!$G$20=1),Skills!$B$10&amp;", ","")&amp;IF(AND(BD242=1,Skills!$H$20=1),Skills!$B$11&amp;", ","")&amp;IF(AND(BE242=1,Skills!$I$20=1),Skills!$B$12&amp;", ","")&amp;IF(AND(BF242=1,Skills!$J$20=1),Skills!$B$13&amp;", ","")&amp;IF(AND(BG242=1,Skills!$K$20=1),Skills!$B$14&amp;", ","")&amp;IF(AND(BH242=1,Skills!$L$20=1),Skills!$B$15&amp;", ","")&amp;IF(AND(BI242=1,Skills!$M$20=1),Skills!$B$16&amp;", ",""))-2)))</f>
        <v/>
      </c>
    </row>
    <row r="243">
      <c r="AD243" s="20" t="n"/>
      <c r="AE243" s="20" t="n"/>
      <c r="AF243" s="20" t="n"/>
      <c r="AG243" s="20" t="n"/>
      <c r="AH243" s="20" t="n"/>
      <c r="AI243" s="20" t="n"/>
      <c r="AJ243" s="20" t="n"/>
      <c r="AK243" s="20" t="n"/>
      <c r="AL243" s="20" t="n"/>
      <c r="AM243" s="20" t="n"/>
      <c r="AN243" s="20" t="n"/>
      <c r="AO243" s="20" t="n"/>
      <c r="AP243" s="20" t="n"/>
      <c r="AR243" s="31">
        <f>IF(IFERROR(TRIM(INDEX($A243:$AB243,MATCH(Lists!$B$5,$A$1:$AB$1,0))&amp;""),"")&lt;&gt;"",IFERROR(TRIM(INDEX($A243:$AB243,MATCH(Lists!$B$5,$A$1:$AB$1,0))&amp;""),""),IFERROR(TRIM(INDEX($A243:$AB243,MATCH(Lists!$B$3,$A$1:$AB$1,0))&amp;""),""))</f>
        <v/>
      </c>
      <c r="AS243" s="31">
        <f>IF(AR243="","",IF(IFERROR(TRIM(INDEX($A243:$AB243,MATCH(Lists!$B$5,$A$1:$AB$1,0))&amp;""),"")&lt;&gt;"","Nominated","Applied"))</f>
        <v/>
      </c>
      <c r="AT243" s="31">
        <f>IF(AR243="","",IF(IFERROR(TRIM(INDEX($A243:$AB243,MATCH(Lists!$B$5,$A$1:$AB$1,0))&amp;""),"")&lt;&gt;"",IFERROR(TRIM(INDEX($A243:$AB243,MATCH(Lists!$B$6,$A$1:$AB$1,0))&amp;""),""),IFERROR(TRIM(INDEX($A243:$AB243,MATCH(Lists!$B$4,$A$1:$AB$1,0))&amp;""),"")))</f>
        <v/>
      </c>
      <c r="AU243" s="31">
        <f>IF(AR243="","",IFERROR(TRIM(INDEX($A243:$AB243,MATCH(Lists!$B$7,$A$1:$AB$1,0))&amp;""),""))</f>
        <v/>
      </c>
      <c r="AV243" s="31">
        <f>IF(AR243="","",IFERROR(TRIM(INDEX($A243:$AB243,MATCH(Lists!$B$9,$A$1:$AB$1,0))&amp;""),""))</f>
        <v/>
      </c>
      <c r="AW243" s="31">
        <f>IF(AR243="","",IFERROR(TRIM(INDEX($A243:$AB243,MATCH(Lists!$B$8,$A$1:$AB$1,0))&amp;""),""))</f>
        <v/>
      </c>
      <c r="AX243" s="23">
        <f>IF(AR243="","",IF(OR(TRIM(AE243&amp;"")&lt;&gt;"",AND(Skills!$B$5&lt;&gt;"",ISNUMBER(SEARCH(Skills!$B$5,AU243)))),1,0))</f>
        <v/>
      </c>
      <c r="AY243" s="23">
        <f>IF(AR243="","",IF(OR(TRIM(AF243&amp;"")&lt;&gt;"",AND(Skills!$B$6&lt;&gt;"",ISNUMBER(SEARCH(Skills!$B$6,AU243)))),1,0))</f>
        <v/>
      </c>
      <c r="AZ243" s="23">
        <f>IF(AR243="","",IF(OR(TRIM(AG243&amp;"")&lt;&gt;"",AND(Skills!$B$7&lt;&gt;"",ISNUMBER(SEARCH(Skills!$B$7,AU243)))),1,0))</f>
        <v/>
      </c>
      <c r="BA243" s="23">
        <f>IF(AR243="","",IF(OR(TRIM(AH243&amp;"")&lt;&gt;"",AND(Skills!$B$8&lt;&gt;"",ISNUMBER(SEARCH(Skills!$B$8,AU243)))),1,0))</f>
        <v/>
      </c>
      <c r="BB243" s="23">
        <f>IF(AR243="","",IF(OR(TRIM(AI243&amp;"")&lt;&gt;"",AND(Skills!$B$9&lt;&gt;"",ISNUMBER(SEARCH(Skills!$B$9,AU243)))),1,0))</f>
        <v/>
      </c>
      <c r="BC243" s="23">
        <f>IF(AR243="","",IF(OR(TRIM(AJ243&amp;"")&lt;&gt;"",AND(Skills!$B$10&lt;&gt;"",ISNUMBER(SEARCH(Skills!$B$10,AU243)))),1,0))</f>
        <v/>
      </c>
      <c r="BD243" s="23">
        <f>IF(AR243="","",IF(OR(TRIM(AK243&amp;"")&lt;&gt;"",AND(Skills!$B$11&lt;&gt;"",ISNUMBER(SEARCH(Skills!$B$11,AU243)))),1,0))</f>
        <v/>
      </c>
      <c r="BE243" s="23">
        <f>IF(AR243="","",IF(OR(TRIM(AL243&amp;"")&lt;&gt;"",AND(Skills!$B$12&lt;&gt;"",ISNUMBER(SEARCH(Skills!$B$12,AU243)))),1,0))</f>
        <v/>
      </c>
      <c r="BF243" s="23">
        <f>IF(AR243="","",IF(OR(TRIM(AM243&amp;"")&lt;&gt;"",AND(Skills!$B$13&lt;&gt;"",ISNUMBER(SEARCH(Skills!$B$13,AU243)))),1,0))</f>
        <v/>
      </c>
      <c r="BG243" s="23">
        <f>IF(AR243="","",IF(OR(TRIM(AN243&amp;"")&lt;&gt;"",AND(Skills!$B$14&lt;&gt;"",ISNUMBER(SEARCH(Skills!$B$14,AU243)))),1,0))</f>
        <v/>
      </c>
      <c r="BH243" s="23">
        <f>IF(AR243="","",IF(OR(TRIM(AO243&amp;"")&lt;&gt;"",AND(Skills!$B$15&lt;&gt;"",ISNUMBER(SEARCH(Skills!$B$15,AU243)))),1,0))</f>
        <v/>
      </c>
      <c r="BI243" s="23">
        <f>IF(AR243="","",IF(OR(TRIM(AP243&amp;"")&lt;&gt;"",AND(Skills!$B$16&lt;&gt;"",ISNUMBER(SEARCH(Skills!$B$16,AU243)))),1,0))</f>
        <v/>
      </c>
      <c r="BJ243" s="23">
        <f>IF(AR243="","",SUMPRODUCT($AX243:$BI243,Skills!$B$20:$M$20))</f>
        <v/>
      </c>
      <c r="BK243" s="23">
        <f>IF(AR243="","",BJ243*100000+(100000-ROW()))</f>
        <v/>
      </c>
      <c r="BL243" s="31">
        <f>IF(AR243="","",IF((IF(AND(AX243=1,Skills!$B$20=1),Skills!$B$5&amp;", ","")&amp;IF(AND(AY243=1,Skills!$C$20=1),Skills!$B$6&amp;", ","")&amp;IF(AND(AZ243=1,Skills!$D$20=1),Skills!$B$7&amp;", ","")&amp;IF(AND(BA243=1,Skills!$E$20=1),Skills!$B$8&amp;", ","")&amp;IF(AND(BB243=1,Skills!$F$20=1),Skills!$B$9&amp;", ","")&amp;IF(AND(BC243=1,Skills!$G$20=1),Skills!$B$10&amp;", ","")&amp;IF(AND(BD243=1,Skills!$H$20=1),Skills!$B$11&amp;", ","")&amp;IF(AND(BE243=1,Skills!$I$20=1),Skills!$B$12&amp;", ","")&amp;IF(AND(BF243=1,Skills!$J$20=1),Skills!$B$13&amp;", ","")&amp;IF(AND(BG243=1,Skills!$K$20=1),Skills!$B$14&amp;", ","")&amp;IF(AND(BH243=1,Skills!$L$20=1),Skills!$B$15&amp;", ","")&amp;IF(AND(BI243=1,Skills!$M$20=1),Skills!$B$16&amp;", ",""))="","",LEFT(IF(AND(AX243=1,Skills!$B$20=1),Skills!$B$5&amp;", ","")&amp;IF(AND(AY243=1,Skills!$C$20=1),Skills!$B$6&amp;", ","")&amp;IF(AND(AZ243=1,Skills!$D$20=1),Skills!$B$7&amp;", ","")&amp;IF(AND(BA243=1,Skills!$E$20=1),Skills!$B$8&amp;", ","")&amp;IF(AND(BB243=1,Skills!$F$20=1),Skills!$B$9&amp;", ","")&amp;IF(AND(BC243=1,Skills!$G$20=1),Skills!$B$10&amp;", ","")&amp;IF(AND(BD243=1,Skills!$H$20=1),Skills!$B$11&amp;", ","")&amp;IF(AND(BE243=1,Skills!$I$20=1),Skills!$B$12&amp;", ","")&amp;IF(AND(BF243=1,Skills!$J$20=1),Skills!$B$13&amp;", ","")&amp;IF(AND(BG243=1,Skills!$K$20=1),Skills!$B$14&amp;", ","")&amp;IF(AND(BH243=1,Skills!$L$20=1),Skills!$B$15&amp;", ","")&amp;IF(AND(BI243=1,Skills!$M$20=1),Skills!$B$16&amp;", ",""),LEN(IF(AND(AX243=1,Skills!$B$20=1),Skills!$B$5&amp;", ","")&amp;IF(AND(AY243=1,Skills!$C$20=1),Skills!$B$6&amp;", ","")&amp;IF(AND(AZ243=1,Skills!$D$20=1),Skills!$B$7&amp;", ","")&amp;IF(AND(BA243=1,Skills!$E$20=1),Skills!$B$8&amp;", ","")&amp;IF(AND(BB243=1,Skills!$F$20=1),Skills!$B$9&amp;", ","")&amp;IF(AND(BC243=1,Skills!$G$20=1),Skills!$B$10&amp;", ","")&amp;IF(AND(BD243=1,Skills!$H$20=1),Skills!$B$11&amp;", ","")&amp;IF(AND(BE243=1,Skills!$I$20=1),Skills!$B$12&amp;", ","")&amp;IF(AND(BF243=1,Skills!$J$20=1),Skills!$B$13&amp;", ","")&amp;IF(AND(BG243=1,Skills!$K$20=1),Skills!$B$14&amp;", ","")&amp;IF(AND(BH243=1,Skills!$L$20=1),Skills!$B$15&amp;", ","")&amp;IF(AND(BI243=1,Skills!$M$20=1),Skills!$B$16&amp;", ",""))-2)))</f>
        <v/>
      </c>
    </row>
    <row r="244">
      <c r="AD244" s="20" t="n"/>
      <c r="AE244" s="20" t="n"/>
      <c r="AF244" s="20" t="n"/>
      <c r="AG244" s="20" t="n"/>
      <c r="AH244" s="20" t="n"/>
      <c r="AI244" s="20" t="n"/>
      <c r="AJ244" s="20" t="n"/>
      <c r="AK244" s="20" t="n"/>
      <c r="AL244" s="20" t="n"/>
      <c r="AM244" s="20" t="n"/>
      <c r="AN244" s="20" t="n"/>
      <c r="AO244" s="20" t="n"/>
      <c r="AP244" s="20" t="n"/>
      <c r="AR244" s="31">
        <f>IF(IFERROR(TRIM(INDEX($A244:$AB244,MATCH(Lists!$B$5,$A$1:$AB$1,0))&amp;""),"")&lt;&gt;"",IFERROR(TRIM(INDEX($A244:$AB244,MATCH(Lists!$B$5,$A$1:$AB$1,0))&amp;""),""),IFERROR(TRIM(INDEX($A244:$AB244,MATCH(Lists!$B$3,$A$1:$AB$1,0))&amp;""),""))</f>
        <v/>
      </c>
      <c r="AS244" s="31">
        <f>IF(AR244="","",IF(IFERROR(TRIM(INDEX($A244:$AB244,MATCH(Lists!$B$5,$A$1:$AB$1,0))&amp;""),"")&lt;&gt;"","Nominated","Applied"))</f>
        <v/>
      </c>
      <c r="AT244" s="31">
        <f>IF(AR244="","",IF(IFERROR(TRIM(INDEX($A244:$AB244,MATCH(Lists!$B$5,$A$1:$AB$1,0))&amp;""),"")&lt;&gt;"",IFERROR(TRIM(INDEX($A244:$AB244,MATCH(Lists!$B$6,$A$1:$AB$1,0))&amp;""),""),IFERROR(TRIM(INDEX($A244:$AB244,MATCH(Lists!$B$4,$A$1:$AB$1,0))&amp;""),"")))</f>
        <v/>
      </c>
      <c r="AU244" s="31">
        <f>IF(AR244="","",IFERROR(TRIM(INDEX($A244:$AB244,MATCH(Lists!$B$7,$A$1:$AB$1,0))&amp;""),""))</f>
        <v/>
      </c>
      <c r="AV244" s="31">
        <f>IF(AR244="","",IFERROR(TRIM(INDEX($A244:$AB244,MATCH(Lists!$B$9,$A$1:$AB$1,0))&amp;""),""))</f>
        <v/>
      </c>
      <c r="AW244" s="31">
        <f>IF(AR244="","",IFERROR(TRIM(INDEX($A244:$AB244,MATCH(Lists!$B$8,$A$1:$AB$1,0))&amp;""),""))</f>
        <v/>
      </c>
      <c r="AX244" s="23">
        <f>IF(AR244="","",IF(OR(TRIM(AE244&amp;"")&lt;&gt;"",AND(Skills!$B$5&lt;&gt;"",ISNUMBER(SEARCH(Skills!$B$5,AU244)))),1,0))</f>
        <v/>
      </c>
      <c r="AY244" s="23">
        <f>IF(AR244="","",IF(OR(TRIM(AF244&amp;"")&lt;&gt;"",AND(Skills!$B$6&lt;&gt;"",ISNUMBER(SEARCH(Skills!$B$6,AU244)))),1,0))</f>
        <v/>
      </c>
      <c r="AZ244" s="23">
        <f>IF(AR244="","",IF(OR(TRIM(AG244&amp;"")&lt;&gt;"",AND(Skills!$B$7&lt;&gt;"",ISNUMBER(SEARCH(Skills!$B$7,AU244)))),1,0))</f>
        <v/>
      </c>
      <c r="BA244" s="23">
        <f>IF(AR244="","",IF(OR(TRIM(AH244&amp;"")&lt;&gt;"",AND(Skills!$B$8&lt;&gt;"",ISNUMBER(SEARCH(Skills!$B$8,AU244)))),1,0))</f>
        <v/>
      </c>
      <c r="BB244" s="23">
        <f>IF(AR244="","",IF(OR(TRIM(AI244&amp;"")&lt;&gt;"",AND(Skills!$B$9&lt;&gt;"",ISNUMBER(SEARCH(Skills!$B$9,AU244)))),1,0))</f>
        <v/>
      </c>
      <c r="BC244" s="23">
        <f>IF(AR244="","",IF(OR(TRIM(AJ244&amp;"")&lt;&gt;"",AND(Skills!$B$10&lt;&gt;"",ISNUMBER(SEARCH(Skills!$B$10,AU244)))),1,0))</f>
        <v/>
      </c>
      <c r="BD244" s="23">
        <f>IF(AR244="","",IF(OR(TRIM(AK244&amp;"")&lt;&gt;"",AND(Skills!$B$11&lt;&gt;"",ISNUMBER(SEARCH(Skills!$B$11,AU244)))),1,0))</f>
        <v/>
      </c>
      <c r="BE244" s="23">
        <f>IF(AR244="","",IF(OR(TRIM(AL244&amp;"")&lt;&gt;"",AND(Skills!$B$12&lt;&gt;"",ISNUMBER(SEARCH(Skills!$B$12,AU244)))),1,0))</f>
        <v/>
      </c>
      <c r="BF244" s="23">
        <f>IF(AR244="","",IF(OR(TRIM(AM244&amp;"")&lt;&gt;"",AND(Skills!$B$13&lt;&gt;"",ISNUMBER(SEARCH(Skills!$B$13,AU244)))),1,0))</f>
        <v/>
      </c>
      <c r="BG244" s="23">
        <f>IF(AR244="","",IF(OR(TRIM(AN244&amp;"")&lt;&gt;"",AND(Skills!$B$14&lt;&gt;"",ISNUMBER(SEARCH(Skills!$B$14,AU244)))),1,0))</f>
        <v/>
      </c>
      <c r="BH244" s="23">
        <f>IF(AR244="","",IF(OR(TRIM(AO244&amp;"")&lt;&gt;"",AND(Skills!$B$15&lt;&gt;"",ISNUMBER(SEARCH(Skills!$B$15,AU244)))),1,0))</f>
        <v/>
      </c>
      <c r="BI244" s="23">
        <f>IF(AR244="","",IF(OR(TRIM(AP244&amp;"")&lt;&gt;"",AND(Skills!$B$16&lt;&gt;"",ISNUMBER(SEARCH(Skills!$B$16,AU244)))),1,0))</f>
        <v/>
      </c>
      <c r="BJ244" s="23">
        <f>IF(AR244="","",SUMPRODUCT($AX244:$BI244,Skills!$B$20:$M$20))</f>
        <v/>
      </c>
      <c r="BK244" s="23">
        <f>IF(AR244="","",BJ244*100000+(100000-ROW()))</f>
        <v/>
      </c>
      <c r="BL244" s="31">
        <f>IF(AR244="","",IF((IF(AND(AX244=1,Skills!$B$20=1),Skills!$B$5&amp;", ","")&amp;IF(AND(AY244=1,Skills!$C$20=1),Skills!$B$6&amp;", ","")&amp;IF(AND(AZ244=1,Skills!$D$20=1),Skills!$B$7&amp;", ","")&amp;IF(AND(BA244=1,Skills!$E$20=1),Skills!$B$8&amp;", ","")&amp;IF(AND(BB244=1,Skills!$F$20=1),Skills!$B$9&amp;", ","")&amp;IF(AND(BC244=1,Skills!$G$20=1),Skills!$B$10&amp;", ","")&amp;IF(AND(BD244=1,Skills!$H$20=1),Skills!$B$11&amp;", ","")&amp;IF(AND(BE244=1,Skills!$I$20=1),Skills!$B$12&amp;", ","")&amp;IF(AND(BF244=1,Skills!$J$20=1),Skills!$B$13&amp;", ","")&amp;IF(AND(BG244=1,Skills!$K$20=1),Skills!$B$14&amp;", ","")&amp;IF(AND(BH244=1,Skills!$L$20=1),Skills!$B$15&amp;", ","")&amp;IF(AND(BI244=1,Skills!$M$20=1),Skills!$B$16&amp;", ",""))="","",LEFT(IF(AND(AX244=1,Skills!$B$20=1),Skills!$B$5&amp;", ","")&amp;IF(AND(AY244=1,Skills!$C$20=1),Skills!$B$6&amp;", ","")&amp;IF(AND(AZ244=1,Skills!$D$20=1),Skills!$B$7&amp;", ","")&amp;IF(AND(BA244=1,Skills!$E$20=1),Skills!$B$8&amp;", ","")&amp;IF(AND(BB244=1,Skills!$F$20=1),Skills!$B$9&amp;", ","")&amp;IF(AND(BC244=1,Skills!$G$20=1),Skills!$B$10&amp;", ","")&amp;IF(AND(BD244=1,Skills!$H$20=1),Skills!$B$11&amp;", ","")&amp;IF(AND(BE244=1,Skills!$I$20=1),Skills!$B$12&amp;", ","")&amp;IF(AND(BF244=1,Skills!$J$20=1),Skills!$B$13&amp;", ","")&amp;IF(AND(BG244=1,Skills!$K$20=1),Skills!$B$14&amp;", ","")&amp;IF(AND(BH244=1,Skills!$L$20=1),Skills!$B$15&amp;", ","")&amp;IF(AND(BI244=1,Skills!$M$20=1),Skills!$B$16&amp;", ",""),LEN(IF(AND(AX244=1,Skills!$B$20=1),Skills!$B$5&amp;", ","")&amp;IF(AND(AY244=1,Skills!$C$20=1),Skills!$B$6&amp;", ","")&amp;IF(AND(AZ244=1,Skills!$D$20=1),Skills!$B$7&amp;", ","")&amp;IF(AND(BA244=1,Skills!$E$20=1),Skills!$B$8&amp;", ","")&amp;IF(AND(BB244=1,Skills!$F$20=1),Skills!$B$9&amp;", ","")&amp;IF(AND(BC244=1,Skills!$G$20=1),Skills!$B$10&amp;", ","")&amp;IF(AND(BD244=1,Skills!$H$20=1),Skills!$B$11&amp;", ","")&amp;IF(AND(BE244=1,Skills!$I$20=1),Skills!$B$12&amp;", ","")&amp;IF(AND(BF244=1,Skills!$J$20=1),Skills!$B$13&amp;", ","")&amp;IF(AND(BG244=1,Skills!$K$20=1),Skills!$B$14&amp;", ","")&amp;IF(AND(BH244=1,Skills!$L$20=1),Skills!$B$15&amp;", ","")&amp;IF(AND(BI244=1,Skills!$M$20=1),Skills!$B$16&amp;", ",""))-2)))</f>
        <v/>
      </c>
    </row>
    <row r="245">
      <c r="AD245" s="20" t="n"/>
      <c r="AE245" s="20" t="n"/>
      <c r="AF245" s="20" t="n"/>
      <c r="AG245" s="20" t="n"/>
      <c r="AH245" s="20" t="n"/>
      <c r="AI245" s="20" t="n"/>
      <c r="AJ245" s="20" t="n"/>
      <c r="AK245" s="20" t="n"/>
      <c r="AL245" s="20" t="n"/>
      <c r="AM245" s="20" t="n"/>
      <c r="AN245" s="20" t="n"/>
      <c r="AO245" s="20" t="n"/>
      <c r="AP245" s="20" t="n"/>
      <c r="AR245" s="31">
        <f>IF(IFERROR(TRIM(INDEX($A245:$AB245,MATCH(Lists!$B$5,$A$1:$AB$1,0))&amp;""),"")&lt;&gt;"",IFERROR(TRIM(INDEX($A245:$AB245,MATCH(Lists!$B$5,$A$1:$AB$1,0))&amp;""),""),IFERROR(TRIM(INDEX($A245:$AB245,MATCH(Lists!$B$3,$A$1:$AB$1,0))&amp;""),""))</f>
        <v/>
      </c>
      <c r="AS245" s="31">
        <f>IF(AR245="","",IF(IFERROR(TRIM(INDEX($A245:$AB245,MATCH(Lists!$B$5,$A$1:$AB$1,0))&amp;""),"")&lt;&gt;"","Nominated","Applied"))</f>
        <v/>
      </c>
      <c r="AT245" s="31">
        <f>IF(AR245="","",IF(IFERROR(TRIM(INDEX($A245:$AB245,MATCH(Lists!$B$5,$A$1:$AB$1,0))&amp;""),"")&lt;&gt;"",IFERROR(TRIM(INDEX($A245:$AB245,MATCH(Lists!$B$6,$A$1:$AB$1,0))&amp;""),""),IFERROR(TRIM(INDEX($A245:$AB245,MATCH(Lists!$B$4,$A$1:$AB$1,0))&amp;""),"")))</f>
        <v/>
      </c>
      <c r="AU245" s="31">
        <f>IF(AR245="","",IFERROR(TRIM(INDEX($A245:$AB245,MATCH(Lists!$B$7,$A$1:$AB$1,0))&amp;""),""))</f>
        <v/>
      </c>
      <c r="AV245" s="31">
        <f>IF(AR245="","",IFERROR(TRIM(INDEX($A245:$AB245,MATCH(Lists!$B$9,$A$1:$AB$1,0))&amp;""),""))</f>
        <v/>
      </c>
      <c r="AW245" s="31">
        <f>IF(AR245="","",IFERROR(TRIM(INDEX($A245:$AB245,MATCH(Lists!$B$8,$A$1:$AB$1,0))&amp;""),""))</f>
        <v/>
      </c>
      <c r="AX245" s="23">
        <f>IF(AR245="","",IF(OR(TRIM(AE245&amp;"")&lt;&gt;"",AND(Skills!$B$5&lt;&gt;"",ISNUMBER(SEARCH(Skills!$B$5,AU245)))),1,0))</f>
        <v/>
      </c>
      <c r="AY245" s="23">
        <f>IF(AR245="","",IF(OR(TRIM(AF245&amp;"")&lt;&gt;"",AND(Skills!$B$6&lt;&gt;"",ISNUMBER(SEARCH(Skills!$B$6,AU245)))),1,0))</f>
        <v/>
      </c>
      <c r="AZ245" s="23">
        <f>IF(AR245="","",IF(OR(TRIM(AG245&amp;"")&lt;&gt;"",AND(Skills!$B$7&lt;&gt;"",ISNUMBER(SEARCH(Skills!$B$7,AU245)))),1,0))</f>
        <v/>
      </c>
      <c r="BA245" s="23">
        <f>IF(AR245="","",IF(OR(TRIM(AH245&amp;"")&lt;&gt;"",AND(Skills!$B$8&lt;&gt;"",ISNUMBER(SEARCH(Skills!$B$8,AU245)))),1,0))</f>
        <v/>
      </c>
      <c r="BB245" s="23">
        <f>IF(AR245="","",IF(OR(TRIM(AI245&amp;"")&lt;&gt;"",AND(Skills!$B$9&lt;&gt;"",ISNUMBER(SEARCH(Skills!$B$9,AU245)))),1,0))</f>
        <v/>
      </c>
      <c r="BC245" s="23">
        <f>IF(AR245="","",IF(OR(TRIM(AJ245&amp;"")&lt;&gt;"",AND(Skills!$B$10&lt;&gt;"",ISNUMBER(SEARCH(Skills!$B$10,AU245)))),1,0))</f>
        <v/>
      </c>
      <c r="BD245" s="23">
        <f>IF(AR245="","",IF(OR(TRIM(AK245&amp;"")&lt;&gt;"",AND(Skills!$B$11&lt;&gt;"",ISNUMBER(SEARCH(Skills!$B$11,AU245)))),1,0))</f>
        <v/>
      </c>
      <c r="BE245" s="23">
        <f>IF(AR245="","",IF(OR(TRIM(AL245&amp;"")&lt;&gt;"",AND(Skills!$B$12&lt;&gt;"",ISNUMBER(SEARCH(Skills!$B$12,AU245)))),1,0))</f>
        <v/>
      </c>
      <c r="BF245" s="23">
        <f>IF(AR245="","",IF(OR(TRIM(AM245&amp;"")&lt;&gt;"",AND(Skills!$B$13&lt;&gt;"",ISNUMBER(SEARCH(Skills!$B$13,AU245)))),1,0))</f>
        <v/>
      </c>
      <c r="BG245" s="23">
        <f>IF(AR245="","",IF(OR(TRIM(AN245&amp;"")&lt;&gt;"",AND(Skills!$B$14&lt;&gt;"",ISNUMBER(SEARCH(Skills!$B$14,AU245)))),1,0))</f>
        <v/>
      </c>
      <c r="BH245" s="23">
        <f>IF(AR245="","",IF(OR(TRIM(AO245&amp;"")&lt;&gt;"",AND(Skills!$B$15&lt;&gt;"",ISNUMBER(SEARCH(Skills!$B$15,AU245)))),1,0))</f>
        <v/>
      </c>
      <c r="BI245" s="23">
        <f>IF(AR245="","",IF(OR(TRIM(AP245&amp;"")&lt;&gt;"",AND(Skills!$B$16&lt;&gt;"",ISNUMBER(SEARCH(Skills!$B$16,AU245)))),1,0))</f>
        <v/>
      </c>
      <c r="BJ245" s="23">
        <f>IF(AR245="","",SUMPRODUCT($AX245:$BI245,Skills!$B$20:$M$20))</f>
        <v/>
      </c>
      <c r="BK245" s="23">
        <f>IF(AR245="","",BJ245*100000+(100000-ROW()))</f>
        <v/>
      </c>
      <c r="BL245" s="31">
        <f>IF(AR245="","",IF((IF(AND(AX245=1,Skills!$B$20=1),Skills!$B$5&amp;", ","")&amp;IF(AND(AY245=1,Skills!$C$20=1),Skills!$B$6&amp;", ","")&amp;IF(AND(AZ245=1,Skills!$D$20=1),Skills!$B$7&amp;", ","")&amp;IF(AND(BA245=1,Skills!$E$20=1),Skills!$B$8&amp;", ","")&amp;IF(AND(BB245=1,Skills!$F$20=1),Skills!$B$9&amp;", ","")&amp;IF(AND(BC245=1,Skills!$G$20=1),Skills!$B$10&amp;", ","")&amp;IF(AND(BD245=1,Skills!$H$20=1),Skills!$B$11&amp;", ","")&amp;IF(AND(BE245=1,Skills!$I$20=1),Skills!$B$12&amp;", ","")&amp;IF(AND(BF245=1,Skills!$J$20=1),Skills!$B$13&amp;", ","")&amp;IF(AND(BG245=1,Skills!$K$20=1),Skills!$B$14&amp;", ","")&amp;IF(AND(BH245=1,Skills!$L$20=1),Skills!$B$15&amp;", ","")&amp;IF(AND(BI245=1,Skills!$M$20=1),Skills!$B$16&amp;", ",""))="","",LEFT(IF(AND(AX245=1,Skills!$B$20=1),Skills!$B$5&amp;", ","")&amp;IF(AND(AY245=1,Skills!$C$20=1),Skills!$B$6&amp;", ","")&amp;IF(AND(AZ245=1,Skills!$D$20=1),Skills!$B$7&amp;", ","")&amp;IF(AND(BA245=1,Skills!$E$20=1),Skills!$B$8&amp;", ","")&amp;IF(AND(BB245=1,Skills!$F$20=1),Skills!$B$9&amp;", ","")&amp;IF(AND(BC245=1,Skills!$G$20=1),Skills!$B$10&amp;", ","")&amp;IF(AND(BD245=1,Skills!$H$20=1),Skills!$B$11&amp;", ","")&amp;IF(AND(BE245=1,Skills!$I$20=1),Skills!$B$12&amp;", ","")&amp;IF(AND(BF245=1,Skills!$J$20=1),Skills!$B$13&amp;", ","")&amp;IF(AND(BG245=1,Skills!$K$20=1),Skills!$B$14&amp;", ","")&amp;IF(AND(BH245=1,Skills!$L$20=1),Skills!$B$15&amp;", ","")&amp;IF(AND(BI245=1,Skills!$M$20=1),Skills!$B$16&amp;", ",""),LEN(IF(AND(AX245=1,Skills!$B$20=1),Skills!$B$5&amp;", ","")&amp;IF(AND(AY245=1,Skills!$C$20=1),Skills!$B$6&amp;", ","")&amp;IF(AND(AZ245=1,Skills!$D$20=1),Skills!$B$7&amp;", ","")&amp;IF(AND(BA245=1,Skills!$E$20=1),Skills!$B$8&amp;", ","")&amp;IF(AND(BB245=1,Skills!$F$20=1),Skills!$B$9&amp;", ","")&amp;IF(AND(BC245=1,Skills!$G$20=1),Skills!$B$10&amp;", ","")&amp;IF(AND(BD245=1,Skills!$H$20=1),Skills!$B$11&amp;", ","")&amp;IF(AND(BE245=1,Skills!$I$20=1),Skills!$B$12&amp;", ","")&amp;IF(AND(BF245=1,Skills!$J$20=1),Skills!$B$13&amp;", ","")&amp;IF(AND(BG245=1,Skills!$K$20=1),Skills!$B$14&amp;", ","")&amp;IF(AND(BH245=1,Skills!$L$20=1),Skills!$B$15&amp;", ","")&amp;IF(AND(BI245=1,Skills!$M$20=1),Skills!$B$16&amp;", ",""))-2)))</f>
        <v/>
      </c>
    </row>
    <row r="246">
      <c r="AD246" s="20" t="n"/>
      <c r="AE246" s="20" t="n"/>
      <c r="AF246" s="20" t="n"/>
      <c r="AG246" s="20" t="n"/>
      <c r="AH246" s="20" t="n"/>
      <c r="AI246" s="20" t="n"/>
      <c r="AJ246" s="20" t="n"/>
      <c r="AK246" s="20" t="n"/>
      <c r="AL246" s="20" t="n"/>
      <c r="AM246" s="20" t="n"/>
      <c r="AN246" s="20" t="n"/>
      <c r="AO246" s="20" t="n"/>
      <c r="AP246" s="20" t="n"/>
      <c r="AR246" s="31">
        <f>IF(IFERROR(TRIM(INDEX($A246:$AB246,MATCH(Lists!$B$5,$A$1:$AB$1,0))&amp;""),"")&lt;&gt;"",IFERROR(TRIM(INDEX($A246:$AB246,MATCH(Lists!$B$5,$A$1:$AB$1,0))&amp;""),""),IFERROR(TRIM(INDEX($A246:$AB246,MATCH(Lists!$B$3,$A$1:$AB$1,0))&amp;""),""))</f>
        <v/>
      </c>
      <c r="AS246" s="31">
        <f>IF(AR246="","",IF(IFERROR(TRIM(INDEX($A246:$AB246,MATCH(Lists!$B$5,$A$1:$AB$1,0))&amp;""),"")&lt;&gt;"","Nominated","Applied"))</f>
        <v/>
      </c>
      <c r="AT246" s="31">
        <f>IF(AR246="","",IF(IFERROR(TRIM(INDEX($A246:$AB246,MATCH(Lists!$B$5,$A$1:$AB$1,0))&amp;""),"")&lt;&gt;"",IFERROR(TRIM(INDEX($A246:$AB246,MATCH(Lists!$B$6,$A$1:$AB$1,0))&amp;""),""),IFERROR(TRIM(INDEX($A246:$AB246,MATCH(Lists!$B$4,$A$1:$AB$1,0))&amp;""),"")))</f>
        <v/>
      </c>
      <c r="AU246" s="31">
        <f>IF(AR246="","",IFERROR(TRIM(INDEX($A246:$AB246,MATCH(Lists!$B$7,$A$1:$AB$1,0))&amp;""),""))</f>
        <v/>
      </c>
      <c r="AV246" s="31">
        <f>IF(AR246="","",IFERROR(TRIM(INDEX($A246:$AB246,MATCH(Lists!$B$9,$A$1:$AB$1,0))&amp;""),""))</f>
        <v/>
      </c>
      <c r="AW246" s="31">
        <f>IF(AR246="","",IFERROR(TRIM(INDEX($A246:$AB246,MATCH(Lists!$B$8,$A$1:$AB$1,0))&amp;""),""))</f>
        <v/>
      </c>
      <c r="AX246" s="23">
        <f>IF(AR246="","",IF(OR(TRIM(AE246&amp;"")&lt;&gt;"",AND(Skills!$B$5&lt;&gt;"",ISNUMBER(SEARCH(Skills!$B$5,AU246)))),1,0))</f>
        <v/>
      </c>
      <c r="AY246" s="23">
        <f>IF(AR246="","",IF(OR(TRIM(AF246&amp;"")&lt;&gt;"",AND(Skills!$B$6&lt;&gt;"",ISNUMBER(SEARCH(Skills!$B$6,AU246)))),1,0))</f>
        <v/>
      </c>
      <c r="AZ246" s="23">
        <f>IF(AR246="","",IF(OR(TRIM(AG246&amp;"")&lt;&gt;"",AND(Skills!$B$7&lt;&gt;"",ISNUMBER(SEARCH(Skills!$B$7,AU246)))),1,0))</f>
        <v/>
      </c>
      <c r="BA246" s="23">
        <f>IF(AR246="","",IF(OR(TRIM(AH246&amp;"")&lt;&gt;"",AND(Skills!$B$8&lt;&gt;"",ISNUMBER(SEARCH(Skills!$B$8,AU246)))),1,0))</f>
        <v/>
      </c>
      <c r="BB246" s="23">
        <f>IF(AR246="","",IF(OR(TRIM(AI246&amp;"")&lt;&gt;"",AND(Skills!$B$9&lt;&gt;"",ISNUMBER(SEARCH(Skills!$B$9,AU246)))),1,0))</f>
        <v/>
      </c>
      <c r="BC246" s="23">
        <f>IF(AR246="","",IF(OR(TRIM(AJ246&amp;"")&lt;&gt;"",AND(Skills!$B$10&lt;&gt;"",ISNUMBER(SEARCH(Skills!$B$10,AU246)))),1,0))</f>
        <v/>
      </c>
      <c r="BD246" s="23">
        <f>IF(AR246="","",IF(OR(TRIM(AK246&amp;"")&lt;&gt;"",AND(Skills!$B$11&lt;&gt;"",ISNUMBER(SEARCH(Skills!$B$11,AU246)))),1,0))</f>
        <v/>
      </c>
      <c r="BE246" s="23">
        <f>IF(AR246="","",IF(OR(TRIM(AL246&amp;"")&lt;&gt;"",AND(Skills!$B$12&lt;&gt;"",ISNUMBER(SEARCH(Skills!$B$12,AU246)))),1,0))</f>
        <v/>
      </c>
      <c r="BF246" s="23">
        <f>IF(AR246="","",IF(OR(TRIM(AM246&amp;"")&lt;&gt;"",AND(Skills!$B$13&lt;&gt;"",ISNUMBER(SEARCH(Skills!$B$13,AU246)))),1,0))</f>
        <v/>
      </c>
      <c r="BG246" s="23">
        <f>IF(AR246="","",IF(OR(TRIM(AN246&amp;"")&lt;&gt;"",AND(Skills!$B$14&lt;&gt;"",ISNUMBER(SEARCH(Skills!$B$14,AU246)))),1,0))</f>
        <v/>
      </c>
      <c r="BH246" s="23">
        <f>IF(AR246="","",IF(OR(TRIM(AO246&amp;"")&lt;&gt;"",AND(Skills!$B$15&lt;&gt;"",ISNUMBER(SEARCH(Skills!$B$15,AU246)))),1,0))</f>
        <v/>
      </c>
      <c r="BI246" s="23">
        <f>IF(AR246="","",IF(OR(TRIM(AP246&amp;"")&lt;&gt;"",AND(Skills!$B$16&lt;&gt;"",ISNUMBER(SEARCH(Skills!$B$16,AU246)))),1,0))</f>
        <v/>
      </c>
      <c r="BJ246" s="23">
        <f>IF(AR246="","",SUMPRODUCT($AX246:$BI246,Skills!$B$20:$M$20))</f>
        <v/>
      </c>
      <c r="BK246" s="23">
        <f>IF(AR246="","",BJ246*100000+(100000-ROW()))</f>
        <v/>
      </c>
      <c r="BL246" s="31">
        <f>IF(AR246="","",IF((IF(AND(AX246=1,Skills!$B$20=1),Skills!$B$5&amp;", ","")&amp;IF(AND(AY246=1,Skills!$C$20=1),Skills!$B$6&amp;", ","")&amp;IF(AND(AZ246=1,Skills!$D$20=1),Skills!$B$7&amp;", ","")&amp;IF(AND(BA246=1,Skills!$E$20=1),Skills!$B$8&amp;", ","")&amp;IF(AND(BB246=1,Skills!$F$20=1),Skills!$B$9&amp;", ","")&amp;IF(AND(BC246=1,Skills!$G$20=1),Skills!$B$10&amp;", ","")&amp;IF(AND(BD246=1,Skills!$H$20=1),Skills!$B$11&amp;", ","")&amp;IF(AND(BE246=1,Skills!$I$20=1),Skills!$B$12&amp;", ","")&amp;IF(AND(BF246=1,Skills!$J$20=1),Skills!$B$13&amp;", ","")&amp;IF(AND(BG246=1,Skills!$K$20=1),Skills!$B$14&amp;", ","")&amp;IF(AND(BH246=1,Skills!$L$20=1),Skills!$B$15&amp;", ","")&amp;IF(AND(BI246=1,Skills!$M$20=1),Skills!$B$16&amp;", ",""))="","",LEFT(IF(AND(AX246=1,Skills!$B$20=1),Skills!$B$5&amp;", ","")&amp;IF(AND(AY246=1,Skills!$C$20=1),Skills!$B$6&amp;", ","")&amp;IF(AND(AZ246=1,Skills!$D$20=1),Skills!$B$7&amp;", ","")&amp;IF(AND(BA246=1,Skills!$E$20=1),Skills!$B$8&amp;", ","")&amp;IF(AND(BB246=1,Skills!$F$20=1),Skills!$B$9&amp;", ","")&amp;IF(AND(BC246=1,Skills!$G$20=1),Skills!$B$10&amp;", ","")&amp;IF(AND(BD246=1,Skills!$H$20=1),Skills!$B$11&amp;", ","")&amp;IF(AND(BE246=1,Skills!$I$20=1),Skills!$B$12&amp;", ","")&amp;IF(AND(BF246=1,Skills!$J$20=1),Skills!$B$13&amp;", ","")&amp;IF(AND(BG246=1,Skills!$K$20=1),Skills!$B$14&amp;", ","")&amp;IF(AND(BH246=1,Skills!$L$20=1),Skills!$B$15&amp;", ","")&amp;IF(AND(BI246=1,Skills!$M$20=1),Skills!$B$16&amp;", ",""),LEN(IF(AND(AX246=1,Skills!$B$20=1),Skills!$B$5&amp;", ","")&amp;IF(AND(AY246=1,Skills!$C$20=1),Skills!$B$6&amp;", ","")&amp;IF(AND(AZ246=1,Skills!$D$20=1),Skills!$B$7&amp;", ","")&amp;IF(AND(BA246=1,Skills!$E$20=1),Skills!$B$8&amp;", ","")&amp;IF(AND(BB246=1,Skills!$F$20=1),Skills!$B$9&amp;", ","")&amp;IF(AND(BC246=1,Skills!$G$20=1),Skills!$B$10&amp;", ","")&amp;IF(AND(BD246=1,Skills!$H$20=1),Skills!$B$11&amp;", ","")&amp;IF(AND(BE246=1,Skills!$I$20=1),Skills!$B$12&amp;", ","")&amp;IF(AND(BF246=1,Skills!$J$20=1),Skills!$B$13&amp;", ","")&amp;IF(AND(BG246=1,Skills!$K$20=1),Skills!$B$14&amp;", ","")&amp;IF(AND(BH246=1,Skills!$L$20=1),Skills!$B$15&amp;", ","")&amp;IF(AND(BI246=1,Skills!$M$20=1),Skills!$B$16&amp;", ",""))-2)))</f>
        <v/>
      </c>
    </row>
    <row r="247">
      <c r="AD247" s="20" t="n"/>
      <c r="AE247" s="20" t="n"/>
      <c r="AF247" s="20" t="n"/>
      <c r="AG247" s="20" t="n"/>
      <c r="AH247" s="20" t="n"/>
      <c r="AI247" s="20" t="n"/>
      <c r="AJ247" s="20" t="n"/>
      <c r="AK247" s="20" t="n"/>
      <c r="AL247" s="20" t="n"/>
      <c r="AM247" s="20" t="n"/>
      <c r="AN247" s="20" t="n"/>
      <c r="AO247" s="20" t="n"/>
      <c r="AP247" s="20" t="n"/>
      <c r="AR247" s="31">
        <f>IF(IFERROR(TRIM(INDEX($A247:$AB247,MATCH(Lists!$B$5,$A$1:$AB$1,0))&amp;""),"")&lt;&gt;"",IFERROR(TRIM(INDEX($A247:$AB247,MATCH(Lists!$B$5,$A$1:$AB$1,0))&amp;""),""),IFERROR(TRIM(INDEX($A247:$AB247,MATCH(Lists!$B$3,$A$1:$AB$1,0))&amp;""),""))</f>
        <v/>
      </c>
      <c r="AS247" s="31">
        <f>IF(AR247="","",IF(IFERROR(TRIM(INDEX($A247:$AB247,MATCH(Lists!$B$5,$A$1:$AB$1,0))&amp;""),"")&lt;&gt;"","Nominated","Applied"))</f>
        <v/>
      </c>
      <c r="AT247" s="31">
        <f>IF(AR247="","",IF(IFERROR(TRIM(INDEX($A247:$AB247,MATCH(Lists!$B$5,$A$1:$AB$1,0))&amp;""),"")&lt;&gt;"",IFERROR(TRIM(INDEX($A247:$AB247,MATCH(Lists!$B$6,$A$1:$AB$1,0))&amp;""),""),IFERROR(TRIM(INDEX($A247:$AB247,MATCH(Lists!$B$4,$A$1:$AB$1,0))&amp;""),"")))</f>
        <v/>
      </c>
      <c r="AU247" s="31">
        <f>IF(AR247="","",IFERROR(TRIM(INDEX($A247:$AB247,MATCH(Lists!$B$7,$A$1:$AB$1,0))&amp;""),""))</f>
        <v/>
      </c>
      <c r="AV247" s="31">
        <f>IF(AR247="","",IFERROR(TRIM(INDEX($A247:$AB247,MATCH(Lists!$B$9,$A$1:$AB$1,0))&amp;""),""))</f>
        <v/>
      </c>
      <c r="AW247" s="31">
        <f>IF(AR247="","",IFERROR(TRIM(INDEX($A247:$AB247,MATCH(Lists!$B$8,$A$1:$AB$1,0))&amp;""),""))</f>
        <v/>
      </c>
      <c r="AX247" s="23">
        <f>IF(AR247="","",IF(OR(TRIM(AE247&amp;"")&lt;&gt;"",AND(Skills!$B$5&lt;&gt;"",ISNUMBER(SEARCH(Skills!$B$5,AU247)))),1,0))</f>
        <v/>
      </c>
      <c r="AY247" s="23">
        <f>IF(AR247="","",IF(OR(TRIM(AF247&amp;"")&lt;&gt;"",AND(Skills!$B$6&lt;&gt;"",ISNUMBER(SEARCH(Skills!$B$6,AU247)))),1,0))</f>
        <v/>
      </c>
      <c r="AZ247" s="23">
        <f>IF(AR247="","",IF(OR(TRIM(AG247&amp;"")&lt;&gt;"",AND(Skills!$B$7&lt;&gt;"",ISNUMBER(SEARCH(Skills!$B$7,AU247)))),1,0))</f>
        <v/>
      </c>
      <c r="BA247" s="23">
        <f>IF(AR247="","",IF(OR(TRIM(AH247&amp;"")&lt;&gt;"",AND(Skills!$B$8&lt;&gt;"",ISNUMBER(SEARCH(Skills!$B$8,AU247)))),1,0))</f>
        <v/>
      </c>
      <c r="BB247" s="23">
        <f>IF(AR247="","",IF(OR(TRIM(AI247&amp;"")&lt;&gt;"",AND(Skills!$B$9&lt;&gt;"",ISNUMBER(SEARCH(Skills!$B$9,AU247)))),1,0))</f>
        <v/>
      </c>
      <c r="BC247" s="23">
        <f>IF(AR247="","",IF(OR(TRIM(AJ247&amp;"")&lt;&gt;"",AND(Skills!$B$10&lt;&gt;"",ISNUMBER(SEARCH(Skills!$B$10,AU247)))),1,0))</f>
        <v/>
      </c>
      <c r="BD247" s="23">
        <f>IF(AR247="","",IF(OR(TRIM(AK247&amp;"")&lt;&gt;"",AND(Skills!$B$11&lt;&gt;"",ISNUMBER(SEARCH(Skills!$B$11,AU247)))),1,0))</f>
        <v/>
      </c>
      <c r="BE247" s="23">
        <f>IF(AR247="","",IF(OR(TRIM(AL247&amp;"")&lt;&gt;"",AND(Skills!$B$12&lt;&gt;"",ISNUMBER(SEARCH(Skills!$B$12,AU247)))),1,0))</f>
        <v/>
      </c>
      <c r="BF247" s="23">
        <f>IF(AR247="","",IF(OR(TRIM(AM247&amp;"")&lt;&gt;"",AND(Skills!$B$13&lt;&gt;"",ISNUMBER(SEARCH(Skills!$B$13,AU247)))),1,0))</f>
        <v/>
      </c>
      <c r="BG247" s="23">
        <f>IF(AR247="","",IF(OR(TRIM(AN247&amp;"")&lt;&gt;"",AND(Skills!$B$14&lt;&gt;"",ISNUMBER(SEARCH(Skills!$B$14,AU247)))),1,0))</f>
        <v/>
      </c>
      <c r="BH247" s="23">
        <f>IF(AR247="","",IF(OR(TRIM(AO247&amp;"")&lt;&gt;"",AND(Skills!$B$15&lt;&gt;"",ISNUMBER(SEARCH(Skills!$B$15,AU247)))),1,0))</f>
        <v/>
      </c>
      <c r="BI247" s="23">
        <f>IF(AR247="","",IF(OR(TRIM(AP247&amp;"")&lt;&gt;"",AND(Skills!$B$16&lt;&gt;"",ISNUMBER(SEARCH(Skills!$B$16,AU247)))),1,0))</f>
        <v/>
      </c>
      <c r="BJ247" s="23">
        <f>IF(AR247="","",SUMPRODUCT($AX247:$BI247,Skills!$B$20:$M$20))</f>
        <v/>
      </c>
      <c r="BK247" s="23">
        <f>IF(AR247="","",BJ247*100000+(100000-ROW()))</f>
        <v/>
      </c>
      <c r="BL247" s="31">
        <f>IF(AR247="","",IF((IF(AND(AX247=1,Skills!$B$20=1),Skills!$B$5&amp;", ","")&amp;IF(AND(AY247=1,Skills!$C$20=1),Skills!$B$6&amp;", ","")&amp;IF(AND(AZ247=1,Skills!$D$20=1),Skills!$B$7&amp;", ","")&amp;IF(AND(BA247=1,Skills!$E$20=1),Skills!$B$8&amp;", ","")&amp;IF(AND(BB247=1,Skills!$F$20=1),Skills!$B$9&amp;", ","")&amp;IF(AND(BC247=1,Skills!$G$20=1),Skills!$B$10&amp;", ","")&amp;IF(AND(BD247=1,Skills!$H$20=1),Skills!$B$11&amp;", ","")&amp;IF(AND(BE247=1,Skills!$I$20=1),Skills!$B$12&amp;", ","")&amp;IF(AND(BF247=1,Skills!$J$20=1),Skills!$B$13&amp;", ","")&amp;IF(AND(BG247=1,Skills!$K$20=1),Skills!$B$14&amp;", ","")&amp;IF(AND(BH247=1,Skills!$L$20=1),Skills!$B$15&amp;", ","")&amp;IF(AND(BI247=1,Skills!$M$20=1),Skills!$B$16&amp;", ",""))="","",LEFT(IF(AND(AX247=1,Skills!$B$20=1),Skills!$B$5&amp;", ","")&amp;IF(AND(AY247=1,Skills!$C$20=1),Skills!$B$6&amp;", ","")&amp;IF(AND(AZ247=1,Skills!$D$20=1),Skills!$B$7&amp;", ","")&amp;IF(AND(BA247=1,Skills!$E$20=1),Skills!$B$8&amp;", ","")&amp;IF(AND(BB247=1,Skills!$F$20=1),Skills!$B$9&amp;", ","")&amp;IF(AND(BC247=1,Skills!$G$20=1),Skills!$B$10&amp;", ","")&amp;IF(AND(BD247=1,Skills!$H$20=1),Skills!$B$11&amp;", ","")&amp;IF(AND(BE247=1,Skills!$I$20=1),Skills!$B$12&amp;", ","")&amp;IF(AND(BF247=1,Skills!$J$20=1),Skills!$B$13&amp;", ","")&amp;IF(AND(BG247=1,Skills!$K$20=1),Skills!$B$14&amp;", ","")&amp;IF(AND(BH247=1,Skills!$L$20=1),Skills!$B$15&amp;", ","")&amp;IF(AND(BI247=1,Skills!$M$20=1),Skills!$B$16&amp;", ",""),LEN(IF(AND(AX247=1,Skills!$B$20=1),Skills!$B$5&amp;", ","")&amp;IF(AND(AY247=1,Skills!$C$20=1),Skills!$B$6&amp;", ","")&amp;IF(AND(AZ247=1,Skills!$D$20=1),Skills!$B$7&amp;", ","")&amp;IF(AND(BA247=1,Skills!$E$20=1),Skills!$B$8&amp;", ","")&amp;IF(AND(BB247=1,Skills!$F$20=1),Skills!$B$9&amp;", ","")&amp;IF(AND(BC247=1,Skills!$G$20=1),Skills!$B$10&amp;", ","")&amp;IF(AND(BD247=1,Skills!$H$20=1),Skills!$B$11&amp;", ","")&amp;IF(AND(BE247=1,Skills!$I$20=1),Skills!$B$12&amp;", ","")&amp;IF(AND(BF247=1,Skills!$J$20=1),Skills!$B$13&amp;", ","")&amp;IF(AND(BG247=1,Skills!$K$20=1),Skills!$B$14&amp;", ","")&amp;IF(AND(BH247=1,Skills!$L$20=1),Skills!$B$15&amp;", ","")&amp;IF(AND(BI247=1,Skills!$M$20=1),Skills!$B$16&amp;", ",""))-2)))</f>
        <v/>
      </c>
    </row>
    <row r="248">
      <c r="AD248" s="20" t="n"/>
      <c r="AE248" s="20" t="n"/>
      <c r="AF248" s="20" t="n"/>
      <c r="AG248" s="20" t="n"/>
      <c r="AH248" s="20" t="n"/>
      <c r="AI248" s="20" t="n"/>
      <c r="AJ248" s="20" t="n"/>
      <c r="AK248" s="20" t="n"/>
      <c r="AL248" s="20" t="n"/>
      <c r="AM248" s="20" t="n"/>
      <c r="AN248" s="20" t="n"/>
      <c r="AO248" s="20" t="n"/>
      <c r="AP248" s="20" t="n"/>
      <c r="AR248" s="31">
        <f>IF(IFERROR(TRIM(INDEX($A248:$AB248,MATCH(Lists!$B$5,$A$1:$AB$1,0))&amp;""),"")&lt;&gt;"",IFERROR(TRIM(INDEX($A248:$AB248,MATCH(Lists!$B$5,$A$1:$AB$1,0))&amp;""),""),IFERROR(TRIM(INDEX($A248:$AB248,MATCH(Lists!$B$3,$A$1:$AB$1,0))&amp;""),""))</f>
        <v/>
      </c>
      <c r="AS248" s="31">
        <f>IF(AR248="","",IF(IFERROR(TRIM(INDEX($A248:$AB248,MATCH(Lists!$B$5,$A$1:$AB$1,0))&amp;""),"")&lt;&gt;"","Nominated","Applied"))</f>
        <v/>
      </c>
      <c r="AT248" s="31">
        <f>IF(AR248="","",IF(IFERROR(TRIM(INDEX($A248:$AB248,MATCH(Lists!$B$5,$A$1:$AB$1,0))&amp;""),"")&lt;&gt;"",IFERROR(TRIM(INDEX($A248:$AB248,MATCH(Lists!$B$6,$A$1:$AB$1,0))&amp;""),""),IFERROR(TRIM(INDEX($A248:$AB248,MATCH(Lists!$B$4,$A$1:$AB$1,0))&amp;""),"")))</f>
        <v/>
      </c>
      <c r="AU248" s="31">
        <f>IF(AR248="","",IFERROR(TRIM(INDEX($A248:$AB248,MATCH(Lists!$B$7,$A$1:$AB$1,0))&amp;""),""))</f>
        <v/>
      </c>
      <c r="AV248" s="31">
        <f>IF(AR248="","",IFERROR(TRIM(INDEX($A248:$AB248,MATCH(Lists!$B$9,$A$1:$AB$1,0))&amp;""),""))</f>
        <v/>
      </c>
      <c r="AW248" s="31">
        <f>IF(AR248="","",IFERROR(TRIM(INDEX($A248:$AB248,MATCH(Lists!$B$8,$A$1:$AB$1,0))&amp;""),""))</f>
        <v/>
      </c>
      <c r="AX248" s="23">
        <f>IF(AR248="","",IF(OR(TRIM(AE248&amp;"")&lt;&gt;"",AND(Skills!$B$5&lt;&gt;"",ISNUMBER(SEARCH(Skills!$B$5,AU248)))),1,0))</f>
        <v/>
      </c>
      <c r="AY248" s="23">
        <f>IF(AR248="","",IF(OR(TRIM(AF248&amp;"")&lt;&gt;"",AND(Skills!$B$6&lt;&gt;"",ISNUMBER(SEARCH(Skills!$B$6,AU248)))),1,0))</f>
        <v/>
      </c>
      <c r="AZ248" s="23">
        <f>IF(AR248="","",IF(OR(TRIM(AG248&amp;"")&lt;&gt;"",AND(Skills!$B$7&lt;&gt;"",ISNUMBER(SEARCH(Skills!$B$7,AU248)))),1,0))</f>
        <v/>
      </c>
      <c r="BA248" s="23">
        <f>IF(AR248="","",IF(OR(TRIM(AH248&amp;"")&lt;&gt;"",AND(Skills!$B$8&lt;&gt;"",ISNUMBER(SEARCH(Skills!$B$8,AU248)))),1,0))</f>
        <v/>
      </c>
      <c r="BB248" s="23">
        <f>IF(AR248="","",IF(OR(TRIM(AI248&amp;"")&lt;&gt;"",AND(Skills!$B$9&lt;&gt;"",ISNUMBER(SEARCH(Skills!$B$9,AU248)))),1,0))</f>
        <v/>
      </c>
      <c r="BC248" s="23">
        <f>IF(AR248="","",IF(OR(TRIM(AJ248&amp;"")&lt;&gt;"",AND(Skills!$B$10&lt;&gt;"",ISNUMBER(SEARCH(Skills!$B$10,AU248)))),1,0))</f>
        <v/>
      </c>
      <c r="BD248" s="23">
        <f>IF(AR248="","",IF(OR(TRIM(AK248&amp;"")&lt;&gt;"",AND(Skills!$B$11&lt;&gt;"",ISNUMBER(SEARCH(Skills!$B$11,AU248)))),1,0))</f>
        <v/>
      </c>
      <c r="BE248" s="23">
        <f>IF(AR248="","",IF(OR(TRIM(AL248&amp;"")&lt;&gt;"",AND(Skills!$B$12&lt;&gt;"",ISNUMBER(SEARCH(Skills!$B$12,AU248)))),1,0))</f>
        <v/>
      </c>
      <c r="BF248" s="23">
        <f>IF(AR248="","",IF(OR(TRIM(AM248&amp;"")&lt;&gt;"",AND(Skills!$B$13&lt;&gt;"",ISNUMBER(SEARCH(Skills!$B$13,AU248)))),1,0))</f>
        <v/>
      </c>
      <c r="BG248" s="23">
        <f>IF(AR248="","",IF(OR(TRIM(AN248&amp;"")&lt;&gt;"",AND(Skills!$B$14&lt;&gt;"",ISNUMBER(SEARCH(Skills!$B$14,AU248)))),1,0))</f>
        <v/>
      </c>
      <c r="BH248" s="23">
        <f>IF(AR248="","",IF(OR(TRIM(AO248&amp;"")&lt;&gt;"",AND(Skills!$B$15&lt;&gt;"",ISNUMBER(SEARCH(Skills!$B$15,AU248)))),1,0))</f>
        <v/>
      </c>
      <c r="BI248" s="23">
        <f>IF(AR248="","",IF(OR(TRIM(AP248&amp;"")&lt;&gt;"",AND(Skills!$B$16&lt;&gt;"",ISNUMBER(SEARCH(Skills!$B$16,AU248)))),1,0))</f>
        <v/>
      </c>
      <c r="BJ248" s="23">
        <f>IF(AR248="","",SUMPRODUCT($AX248:$BI248,Skills!$B$20:$M$20))</f>
        <v/>
      </c>
      <c r="BK248" s="23">
        <f>IF(AR248="","",BJ248*100000+(100000-ROW()))</f>
        <v/>
      </c>
      <c r="BL248" s="31">
        <f>IF(AR248="","",IF((IF(AND(AX248=1,Skills!$B$20=1),Skills!$B$5&amp;", ","")&amp;IF(AND(AY248=1,Skills!$C$20=1),Skills!$B$6&amp;", ","")&amp;IF(AND(AZ248=1,Skills!$D$20=1),Skills!$B$7&amp;", ","")&amp;IF(AND(BA248=1,Skills!$E$20=1),Skills!$B$8&amp;", ","")&amp;IF(AND(BB248=1,Skills!$F$20=1),Skills!$B$9&amp;", ","")&amp;IF(AND(BC248=1,Skills!$G$20=1),Skills!$B$10&amp;", ","")&amp;IF(AND(BD248=1,Skills!$H$20=1),Skills!$B$11&amp;", ","")&amp;IF(AND(BE248=1,Skills!$I$20=1),Skills!$B$12&amp;", ","")&amp;IF(AND(BF248=1,Skills!$J$20=1),Skills!$B$13&amp;", ","")&amp;IF(AND(BG248=1,Skills!$K$20=1),Skills!$B$14&amp;", ","")&amp;IF(AND(BH248=1,Skills!$L$20=1),Skills!$B$15&amp;", ","")&amp;IF(AND(BI248=1,Skills!$M$20=1),Skills!$B$16&amp;", ",""))="","",LEFT(IF(AND(AX248=1,Skills!$B$20=1),Skills!$B$5&amp;", ","")&amp;IF(AND(AY248=1,Skills!$C$20=1),Skills!$B$6&amp;", ","")&amp;IF(AND(AZ248=1,Skills!$D$20=1),Skills!$B$7&amp;", ","")&amp;IF(AND(BA248=1,Skills!$E$20=1),Skills!$B$8&amp;", ","")&amp;IF(AND(BB248=1,Skills!$F$20=1),Skills!$B$9&amp;", ","")&amp;IF(AND(BC248=1,Skills!$G$20=1),Skills!$B$10&amp;", ","")&amp;IF(AND(BD248=1,Skills!$H$20=1),Skills!$B$11&amp;", ","")&amp;IF(AND(BE248=1,Skills!$I$20=1),Skills!$B$12&amp;", ","")&amp;IF(AND(BF248=1,Skills!$J$20=1),Skills!$B$13&amp;", ","")&amp;IF(AND(BG248=1,Skills!$K$20=1),Skills!$B$14&amp;", ","")&amp;IF(AND(BH248=1,Skills!$L$20=1),Skills!$B$15&amp;", ","")&amp;IF(AND(BI248=1,Skills!$M$20=1),Skills!$B$16&amp;", ",""),LEN(IF(AND(AX248=1,Skills!$B$20=1),Skills!$B$5&amp;", ","")&amp;IF(AND(AY248=1,Skills!$C$20=1),Skills!$B$6&amp;", ","")&amp;IF(AND(AZ248=1,Skills!$D$20=1),Skills!$B$7&amp;", ","")&amp;IF(AND(BA248=1,Skills!$E$20=1),Skills!$B$8&amp;", ","")&amp;IF(AND(BB248=1,Skills!$F$20=1),Skills!$B$9&amp;", ","")&amp;IF(AND(BC248=1,Skills!$G$20=1),Skills!$B$10&amp;", ","")&amp;IF(AND(BD248=1,Skills!$H$20=1),Skills!$B$11&amp;", ","")&amp;IF(AND(BE248=1,Skills!$I$20=1),Skills!$B$12&amp;", ","")&amp;IF(AND(BF248=1,Skills!$J$20=1),Skills!$B$13&amp;", ","")&amp;IF(AND(BG248=1,Skills!$K$20=1),Skills!$B$14&amp;", ","")&amp;IF(AND(BH248=1,Skills!$L$20=1),Skills!$B$15&amp;", ","")&amp;IF(AND(BI248=1,Skills!$M$20=1),Skills!$B$16&amp;", ",""))-2)))</f>
        <v/>
      </c>
    </row>
    <row r="249">
      <c r="AD249" s="20" t="n"/>
      <c r="AE249" s="20" t="n"/>
      <c r="AF249" s="20" t="n"/>
      <c r="AG249" s="20" t="n"/>
      <c r="AH249" s="20" t="n"/>
      <c r="AI249" s="20" t="n"/>
      <c r="AJ249" s="20" t="n"/>
      <c r="AK249" s="20" t="n"/>
      <c r="AL249" s="20" t="n"/>
      <c r="AM249" s="20" t="n"/>
      <c r="AN249" s="20" t="n"/>
      <c r="AO249" s="20" t="n"/>
      <c r="AP249" s="20" t="n"/>
      <c r="AR249" s="31">
        <f>IF(IFERROR(TRIM(INDEX($A249:$AB249,MATCH(Lists!$B$5,$A$1:$AB$1,0))&amp;""),"")&lt;&gt;"",IFERROR(TRIM(INDEX($A249:$AB249,MATCH(Lists!$B$5,$A$1:$AB$1,0))&amp;""),""),IFERROR(TRIM(INDEX($A249:$AB249,MATCH(Lists!$B$3,$A$1:$AB$1,0))&amp;""),""))</f>
        <v/>
      </c>
      <c r="AS249" s="31">
        <f>IF(AR249="","",IF(IFERROR(TRIM(INDEX($A249:$AB249,MATCH(Lists!$B$5,$A$1:$AB$1,0))&amp;""),"")&lt;&gt;"","Nominated","Applied"))</f>
        <v/>
      </c>
      <c r="AT249" s="31">
        <f>IF(AR249="","",IF(IFERROR(TRIM(INDEX($A249:$AB249,MATCH(Lists!$B$5,$A$1:$AB$1,0))&amp;""),"")&lt;&gt;"",IFERROR(TRIM(INDEX($A249:$AB249,MATCH(Lists!$B$6,$A$1:$AB$1,0))&amp;""),""),IFERROR(TRIM(INDEX($A249:$AB249,MATCH(Lists!$B$4,$A$1:$AB$1,0))&amp;""),"")))</f>
        <v/>
      </c>
      <c r="AU249" s="31">
        <f>IF(AR249="","",IFERROR(TRIM(INDEX($A249:$AB249,MATCH(Lists!$B$7,$A$1:$AB$1,0))&amp;""),""))</f>
        <v/>
      </c>
      <c r="AV249" s="31">
        <f>IF(AR249="","",IFERROR(TRIM(INDEX($A249:$AB249,MATCH(Lists!$B$9,$A$1:$AB$1,0))&amp;""),""))</f>
        <v/>
      </c>
      <c r="AW249" s="31">
        <f>IF(AR249="","",IFERROR(TRIM(INDEX($A249:$AB249,MATCH(Lists!$B$8,$A$1:$AB$1,0))&amp;""),""))</f>
        <v/>
      </c>
      <c r="AX249" s="23">
        <f>IF(AR249="","",IF(OR(TRIM(AE249&amp;"")&lt;&gt;"",AND(Skills!$B$5&lt;&gt;"",ISNUMBER(SEARCH(Skills!$B$5,AU249)))),1,0))</f>
        <v/>
      </c>
      <c r="AY249" s="23">
        <f>IF(AR249="","",IF(OR(TRIM(AF249&amp;"")&lt;&gt;"",AND(Skills!$B$6&lt;&gt;"",ISNUMBER(SEARCH(Skills!$B$6,AU249)))),1,0))</f>
        <v/>
      </c>
      <c r="AZ249" s="23">
        <f>IF(AR249="","",IF(OR(TRIM(AG249&amp;"")&lt;&gt;"",AND(Skills!$B$7&lt;&gt;"",ISNUMBER(SEARCH(Skills!$B$7,AU249)))),1,0))</f>
        <v/>
      </c>
      <c r="BA249" s="23">
        <f>IF(AR249="","",IF(OR(TRIM(AH249&amp;"")&lt;&gt;"",AND(Skills!$B$8&lt;&gt;"",ISNUMBER(SEARCH(Skills!$B$8,AU249)))),1,0))</f>
        <v/>
      </c>
      <c r="BB249" s="23">
        <f>IF(AR249="","",IF(OR(TRIM(AI249&amp;"")&lt;&gt;"",AND(Skills!$B$9&lt;&gt;"",ISNUMBER(SEARCH(Skills!$B$9,AU249)))),1,0))</f>
        <v/>
      </c>
      <c r="BC249" s="23">
        <f>IF(AR249="","",IF(OR(TRIM(AJ249&amp;"")&lt;&gt;"",AND(Skills!$B$10&lt;&gt;"",ISNUMBER(SEARCH(Skills!$B$10,AU249)))),1,0))</f>
        <v/>
      </c>
      <c r="BD249" s="23">
        <f>IF(AR249="","",IF(OR(TRIM(AK249&amp;"")&lt;&gt;"",AND(Skills!$B$11&lt;&gt;"",ISNUMBER(SEARCH(Skills!$B$11,AU249)))),1,0))</f>
        <v/>
      </c>
      <c r="BE249" s="23">
        <f>IF(AR249="","",IF(OR(TRIM(AL249&amp;"")&lt;&gt;"",AND(Skills!$B$12&lt;&gt;"",ISNUMBER(SEARCH(Skills!$B$12,AU249)))),1,0))</f>
        <v/>
      </c>
      <c r="BF249" s="23">
        <f>IF(AR249="","",IF(OR(TRIM(AM249&amp;"")&lt;&gt;"",AND(Skills!$B$13&lt;&gt;"",ISNUMBER(SEARCH(Skills!$B$13,AU249)))),1,0))</f>
        <v/>
      </c>
      <c r="BG249" s="23">
        <f>IF(AR249="","",IF(OR(TRIM(AN249&amp;"")&lt;&gt;"",AND(Skills!$B$14&lt;&gt;"",ISNUMBER(SEARCH(Skills!$B$14,AU249)))),1,0))</f>
        <v/>
      </c>
      <c r="BH249" s="23">
        <f>IF(AR249="","",IF(OR(TRIM(AO249&amp;"")&lt;&gt;"",AND(Skills!$B$15&lt;&gt;"",ISNUMBER(SEARCH(Skills!$B$15,AU249)))),1,0))</f>
        <v/>
      </c>
      <c r="BI249" s="23">
        <f>IF(AR249="","",IF(OR(TRIM(AP249&amp;"")&lt;&gt;"",AND(Skills!$B$16&lt;&gt;"",ISNUMBER(SEARCH(Skills!$B$16,AU249)))),1,0))</f>
        <v/>
      </c>
      <c r="BJ249" s="23">
        <f>IF(AR249="","",SUMPRODUCT($AX249:$BI249,Skills!$B$20:$M$20))</f>
        <v/>
      </c>
      <c r="BK249" s="23">
        <f>IF(AR249="","",BJ249*100000+(100000-ROW()))</f>
        <v/>
      </c>
      <c r="BL249" s="31">
        <f>IF(AR249="","",IF((IF(AND(AX249=1,Skills!$B$20=1),Skills!$B$5&amp;", ","")&amp;IF(AND(AY249=1,Skills!$C$20=1),Skills!$B$6&amp;", ","")&amp;IF(AND(AZ249=1,Skills!$D$20=1),Skills!$B$7&amp;", ","")&amp;IF(AND(BA249=1,Skills!$E$20=1),Skills!$B$8&amp;", ","")&amp;IF(AND(BB249=1,Skills!$F$20=1),Skills!$B$9&amp;", ","")&amp;IF(AND(BC249=1,Skills!$G$20=1),Skills!$B$10&amp;", ","")&amp;IF(AND(BD249=1,Skills!$H$20=1),Skills!$B$11&amp;", ","")&amp;IF(AND(BE249=1,Skills!$I$20=1),Skills!$B$12&amp;", ","")&amp;IF(AND(BF249=1,Skills!$J$20=1),Skills!$B$13&amp;", ","")&amp;IF(AND(BG249=1,Skills!$K$20=1),Skills!$B$14&amp;", ","")&amp;IF(AND(BH249=1,Skills!$L$20=1),Skills!$B$15&amp;", ","")&amp;IF(AND(BI249=1,Skills!$M$20=1),Skills!$B$16&amp;", ",""))="","",LEFT(IF(AND(AX249=1,Skills!$B$20=1),Skills!$B$5&amp;", ","")&amp;IF(AND(AY249=1,Skills!$C$20=1),Skills!$B$6&amp;", ","")&amp;IF(AND(AZ249=1,Skills!$D$20=1),Skills!$B$7&amp;", ","")&amp;IF(AND(BA249=1,Skills!$E$20=1),Skills!$B$8&amp;", ","")&amp;IF(AND(BB249=1,Skills!$F$20=1),Skills!$B$9&amp;", ","")&amp;IF(AND(BC249=1,Skills!$G$20=1),Skills!$B$10&amp;", ","")&amp;IF(AND(BD249=1,Skills!$H$20=1),Skills!$B$11&amp;", ","")&amp;IF(AND(BE249=1,Skills!$I$20=1),Skills!$B$12&amp;", ","")&amp;IF(AND(BF249=1,Skills!$J$20=1),Skills!$B$13&amp;", ","")&amp;IF(AND(BG249=1,Skills!$K$20=1),Skills!$B$14&amp;", ","")&amp;IF(AND(BH249=1,Skills!$L$20=1),Skills!$B$15&amp;", ","")&amp;IF(AND(BI249=1,Skills!$M$20=1),Skills!$B$16&amp;", ",""),LEN(IF(AND(AX249=1,Skills!$B$20=1),Skills!$B$5&amp;", ","")&amp;IF(AND(AY249=1,Skills!$C$20=1),Skills!$B$6&amp;", ","")&amp;IF(AND(AZ249=1,Skills!$D$20=1),Skills!$B$7&amp;", ","")&amp;IF(AND(BA249=1,Skills!$E$20=1),Skills!$B$8&amp;", ","")&amp;IF(AND(BB249=1,Skills!$F$20=1),Skills!$B$9&amp;", ","")&amp;IF(AND(BC249=1,Skills!$G$20=1),Skills!$B$10&amp;", ","")&amp;IF(AND(BD249=1,Skills!$H$20=1),Skills!$B$11&amp;", ","")&amp;IF(AND(BE249=1,Skills!$I$20=1),Skills!$B$12&amp;", ","")&amp;IF(AND(BF249=1,Skills!$J$20=1),Skills!$B$13&amp;", ","")&amp;IF(AND(BG249=1,Skills!$K$20=1),Skills!$B$14&amp;", ","")&amp;IF(AND(BH249=1,Skills!$L$20=1),Skills!$B$15&amp;", ","")&amp;IF(AND(BI249=1,Skills!$M$20=1),Skills!$B$16&amp;", ",""))-2)))</f>
        <v/>
      </c>
    </row>
    <row r="250">
      <c r="AD250" s="20" t="n"/>
      <c r="AE250" s="20" t="n"/>
      <c r="AF250" s="20" t="n"/>
      <c r="AG250" s="20" t="n"/>
      <c r="AH250" s="20" t="n"/>
      <c r="AI250" s="20" t="n"/>
      <c r="AJ250" s="20" t="n"/>
      <c r="AK250" s="20" t="n"/>
      <c r="AL250" s="20" t="n"/>
      <c r="AM250" s="20" t="n"/>
      <c r="AN250" s="20" t="n"/>
      <c r="AO250" s="20" t="n"/>
      <c r="AP250" s="20" t="n"/>
      <c r="AR250" s="31">
        <f>IF(IFERROR(TRIM(INDEX($A250:$AB250,MATCH(Lists!$B$5,$A$1:$AB$1,0))&amp;""),"")&lt;&gt;"",IFERROR(TRIM(INDEX($A250:$AB250,MATCH(Lists!$B$5,$A$1:$AB$1,0))&amp;""),""),IFERROR(TRIM(INDEX($A250:$AB250,MATCH(Lists!$B$3,$A$1:$AB$1,0))&amp;""),""))</f>
        <v/>
      </c>
      <c r="AS250" s="31">
        <f>IF(AR250="","",IF(IFERROR(TRIM(INDEX($A250:$AB250,MATCH(Lists!$B$5,$A$1:$AB$1,0))&amp;""),"")&lt;&gt;"","Nominated","Applied"))</f>
        <v/>
      </c>
      <c r="AT250" s="31">
        <f>IF(AR250="","",IF(IFERROR(TRIM(INDEX($A250:$AB250,MATCH(Lists!$B$5,$A$1:$AB$1,0))&amp;""),"")&lt;&gt;"",IFERROR(TRIM(INDEX($A250:$AB250,MATCH(Lists!$B$6,$A$1:$AB$1,0))&amp;""),""),IFERROR(TRIM(INDEX($A250:$AB250,MATCH(Lists!$B$4,$A$1:$AB$1,0))&amp;""),"")))</f>
        <v/>
      </c>
      <c r="AU250" s="31">
        <f>IF(AR250="","",IFERROR(TRIM(INDEX($A250:$AB250,MATCH(Lists!$B$7,$A$1:$AB$1,0))&amp;""),""))</f>
        <v/>
      </c>
      <c r="AV250" s="31">
        <f>IF(AR250="","",IFERROR(TRIM(INDEX($A250:$AB250,MATCH(Lists!$B$9,$A$1:$AB$1,0))&amp;""),""))</f>
        <v/>
      </c>
      <c r="AW250" s="31">
        <f>IF(AR250="","",IFERROR(TRIM(INDEX($A250:$AB250,MATCH(Lists!$B$8,$A$1:$AB$1,0))&amp;""),""))</f>
        <v/>
      </c>
      <c r="AX250" s="23">
        <f>IF(AR250="","",IF(OR(TRIM(AE250&amp;"")&lt;&gt;"",AND(Skills!$B$5&lt;&gt;"",ISNUMBER(SEARCH(Skills!$B$5,AU250)))),1,0))</f>
        <v/>
      </c>
      <c r="AY250" s="23">
        <f>IF(AR250="","",IF(OR(TRIM(AF250&amp;"")&lt;&gt;"",AND(Skills!$B$6&lt;&gt;"",ISNUMBER(SEARCH(Skills!$B$6,AU250)))),1,0))</f>
        <v/>
      </c>
      <c r="AZ250" s="23">
        <f>IF(AR250="","",IF(OR(TRIM(AG250&amp;"")&lt;&gt;"",AND(Skills!$B$7&lt;&gt;"",ISNUMBER(SEARCH(Skills!$B$7,AU250)))),1,0))</f>
        <v/>
      </c>
      <c r="BA250" s="23">
        <f>IF(AR250="","",IF(OR(TRIM(AH250&amp;"")&lt;&gt;"",AND(Skills!$B$8&lt;&gt;"",ISNUMBER(SEARCH(Skills!$B$8,AU250)))),1,0))</f>
        <v/>
      </c>
      <c r="BB250" s="23">
        <f>IF(AR250="","",IF(OR(TRIM(AI250&amp;"")&lt;&gt;"",AND(Skills!$B$9&lt;&gt;"",ISNUMBER(SEARCH(Skills!$B$9,AU250)))),1,0))</f>
        <v/>
      </c>
      <c r="BC250" s="23">
        <f>IF(AR250="","",IF(OR(TRIM(AJ250&amp;"")&lt;&gt;"",AND(Skills!$B$10&lt;&gt;"",ISNUMBER(SEARCH(Skills!$B$10,AU250)))),1,0))</f>
        <v/>
      </c>
      <c r="BD250" s="23">
        <f>IF(AR250="","",IF(OR(TRIM(AK250&amp;"")&lt;&gt;"",AND(Skills!$B$11&lt;&gt;"",ISNUMBER(SEARCH(Skills!$B$11,AU250)))),1,0))</f>
        <v/>
      </c>
      <c r="BE250" s="23">
        <f>IF(AR250="","",IF(OR(TRIM(AL250&amp;"")&lt;&gt;"",AND(Skills!$B$12&lt;&gt;"",ISNUMBER(SEARCH(Skills!$B$12,AU250)))),1,0))</f>
        <v/>
      </c>
      <c r="BF250" s="23">
        <f>IF(AR250="","",IF(OR(TRIM(AM250&amp;"")&lt;&gt;"",AND(Skills!$B$13&lt;&gt;"",ISNUMBER(SEARCH(Skills!$B$13,AU250)))),1,0))</f>
        <v/>
      </c>
      <c r="BG250" s="23">
        <f>IF(AR250="","",IF(OR(TRIM(AN250&amp;"")&lt;&gt;"",AND(Skills!$B$14&lt;&gt;"",ISNUMBER(SEARCH(Skills!$B$14,AU250)))),1,0))</f>
        <v/>
      </c>
      <c r="BH250" s="23">
        <f>IF(AR250="","",IF(OR(TRIM(AO250&amp;"")&lt;&gt;"",AND(Skills!$B$15&lt;&gt;"",ISNUMBER(SEARCH(Skills!$B$15,AU250)))),1,0))</f>
        <v/>
      </c>
      <c r="BI250" s="23">
        <f>IF(AR250="","",IF(OR(TRIM(AP250&amp;"")&lt;&gt;"",AND(Skills!$B$16&lt;&gt;"",ISNUMBER(SEARCH(Skills!$B$16,AU250)))),1,0))</f>
        <v/>
      </c>
      <c r="BJ250" s="23">
        <f>IF(AR250="","",SUMPRODUCT($AX250:$BI250,Skills!$B$20:$M$20))</f>
        <v/>
      </c>
      <c r="BK250" s="23">
        <f>IF(AR250="","",BJ250*100000+(100000-ROW()))</f>
        <v/>
      </c>
      <c r="BL250" s="31">
        <f>IF(AR250="","",IF((IF(AND(AX250=1,Skills!$B$20=1),Skills!$B$5&amp;", ","")&amp;IF(AND(AY250=1,Skills!$C$20=1),Skills!$B$6&amp;", ","")&amp;IF(AND(AZ250=1,Skills!$D$20=1),Skills!$B$7&amp;", ","")&amp;IF(AND(BA250=1,Skills!$E$20=1),Skills!$B$8&amp;", ","")&amp;IF(AND(BB250=1,Skills!$F$20=1),Skills!$B$9&amp;", ","")&amp;IF(AND(BC250=1,Skills!$G$20=1),Skills!$B$10&amp;", ","")&amp;IF(AND(BD250=1,Skills!$H$20=1),Skills!$B$11&amp;", ","")&amp;IF(AND(BE250=1,Skills!$I$20=1),Skills!$B$12&amp;", ","")&amp;IF(AND(BF250=1,Skills!$J$20=1),Skills!$B$13&amp;", ","")&amp;IF(AND(BG250=1,Skills!$K$20=1),Skills!$B$14&amp;", ","")&amp;IF(AND(BH250=1,Skills!$L$20=1),Skills!$B$15&amp;", ","")&amp;IF(AND(BI250=1,Skills!$M$20=1),Skills!$B$16&amp;", ",""))="","",LEFT(IF(AND(AX250=1,Skills!$B$20=1),Skills!$B$5&amp;", ","")&amp;IF(AND(AY250=1,Skills!$C$20=1),Skills!$B$6&amp;", ","")&amp;IF(AND(AZ250=1,Skills!$D$20=1),Skills!$B$7&amp;", ","")&amp;IF(AND(BA250=1,Skills!$E$20=1),Skills!$B$8&amp;", ","")&amp;IF(AND(BB250=1,Skills!$F$20=1),Skills!$B$9&amp;", ","")&amp;IF(AND(BC250=1,Skills!$G$20=1),Skills!$B$10&amp;", ","")&amp;IF(AND(BD250=1,Skills!$H$20=1),Skills!$B$11&amp;", ","")&amp;IF(AND(BE250=1,Skills!$I$20=1),Skills!$B$12&amp;", ","")&amp;IF(AND(BF250=1,Skills!$J$20=1),Skills!$B$13&amp;", ","")&amp;IF(AND(BG250=1,Skills!$K$20=1),Skills!$B$14&amp;", ","")&amp;IF(AND(BH250=1,Skills!$L$20=1),Skills!$B$15&amp;", ","")&amp;IF(AND(BI250=1,Skills!$M$20=1),Skills!$B$16&amp;", ",""),LEN(IF(AND(AX250=1,Skills!$B$20=1),Skills!$B$5&amp;", ","")&amp;IF(AND(AY250=1,Skills!$C$20=1),Skills!$B$6&amp;", ","")&amp;IF(AND(AZ250=1,Skills!$D$20=1),Skills!$B$7&amp;", ","")&amp;IF(AND(BA250=1,Skills!$E$20=1),Skills!$B$8&amp;", ","")&amp;IF(AND(BB250=1,Skills!$F$20=1),Skills!$B$9&amp;", ","")&amp;IF(AND(BC250=1,Skills!$G$20=1),Skills!$B$10&amp;", ","")&amp;IF(AND(BD250=1,Skills!$H$20=1),Skills!$B$11&amp;", ","")&amp;IF(AND(BE250=1,Skills!$I$20=1),Skills!$B$12&amp;", ","")&amp;IF(AND(BF250=1,Skills!$J$20=1),Skills!$B$13&amp;", ","")&amp;IF(AND(BG250=1,Skills!$K$20=1),Skills!$B$14&amp;", ","")&amp;IF(AND(BH250=1,Skills!$L$20=1),Skills!$B$15&amp;", ","")&amp;IF(AND(BI250=1,Skills!$M$20=1),Skills!$B$16&amp;", ",""))-2)))</f>
        <v/>
      </c>
    </row>
    <row r="251">
      <c r="AD251" s="20" t="n"/>
      <c r="AE251" s="20" t="n"/>
      <c r="AF251" s="20" t="n"/>
      <c r="AG251" s="20" t="n"/>
      <c r="AH251" s="20" t="n"/>
      <c r="AI251" s="20" t="n"/>
      <c r="AJ251" s="20" t="n"/>
      <c r="AK251" s="20" t="n"/>
      <c r="AL251" s="20" t="n"/>
      <c r="AM251" s="20" t="n"/>
      <c r="AN251" s="20" t="n"/>
      <c r="AO251" s="20" t="n"/>
      <c r="AP251" s="20" t="n"/>
      <c r="AR251" s="31">
        <f>IF(IFERROR(TRIM(INDEX($A251:$AB251,MATCH(Lists!$B$5,$A$1:$AB$1,0))&amp;""),"")&lt;&gt;"",IFERROR(TRIM(INDEX($A251:$AB251,MATCH(Lists!$B$5,$A$1:$AB$1,0))&amp;""),""),IFERROR(TRIM(INDEX($A251:$AB251,MATCH(Lists!$B$3,$A$1:$AB$1,0))&amp;""),""))</f>
        <v/>
      </c>
      <c r="AS251" s="31">
        <f>IF(AR251="","",IF(IFERROR(TRIM(INDEX($A251:$AB251,MATCH(Lists!$B$5,$A$1:$AB$1,0))&amp;""),"")&lt;&gt;"","Nominated","Applied"))</f>
        <v/>
      </c>
      <c r="AT251" s="31">
        <f>IF(AR251="","",IF(IFERROR(TRIM(INDEX($A251:$AB251,MATCH(Lists!$B$5,$A$1:$AB$1,0))&amp;""),"")&lt;&gt;"",IFERROR(TRIM(INDEX($A251:$AB251,MATCH(Lists!$B$6,$A$1:$AB$1,0))&amp;""),""),IFERROR(TRIM(INDEX($A251:$AB251,MATCH(Lists!$B$4,$A$1:$AB$1,0))&amp;""),"")))</f>
        <v/>
      </c>
      <c r="AU251" s="31">
        <f>IF(AR251="","",IFERROR(TRIM(INDEX($A251:$AB251,MATCH(Lists!$B$7,$A$1:$AB$1,0))&amp;""),""))</f>
        <v/>
      </c>
      <c r="AV251" s="31">
        <f>IF(AR251="","",IFERROR(TRIM(INDEX($A251:$AB251,MATCH(Lists!$B$9,$A$1:$AB$1,0))&amp;""),""))</f>
        <v/>
      </c>
      <c r="AW251" s="31">
        <f>IF(AR251="","",IFERROR(TRIM(INDEX($A251:$AB251,MATCH(Lists!$B$8,$A$1:$AB$1,0))&amp;""),""))</f>
        <v/>
      </c>
      <c r="AX251" s="23">
        <f>IF(AR251="","",IF(OR(TRIM(AE251&amp;"")&lt;&gt;"",AND(Skills!$B$5&lt;&gt;"",ISNUMBER(SEARCH(Skills!$B$5,AU251)))),1,0))</f>
        <v/>
      </c>
      <c r="AY251" s="23">
        <f>IF(AR251="","",IF(OR(TRIM(AF251&amp;"")&lt;&gt;"",AND(Skills!$B$6&lt;&gt;"",ISNUMBER(SEARCH(Skills!$B$6,AU251)))),1,0))</f>
        <v/>
      </c>
      <c r="AZ251" s="23">
        <f>IF(AR251="","",IF(OR(TRIM(AG251&amp;"")&lt;&gt;"",AND(Skills!$B$7&lt;&gt;"",ISNUMBER(SEARCH(Skills!$B$7,AU251)))),1,0))</f>
        <v/>
      </c>
      <c r="BA251" s="23">
        <f>IF(AR251="","",IF(OR(TRIM(AH251&amp;"")&lt;&gt;"",AND(Skills!$B$8&lt;&gt;"",ISNUMBER(SEARCH(Skills!$B$8,AU251)))),1,0))</f>
        <v/>
      </c>
      <c r="BB251" s="23">
        <f>IF(AR251="","",IF(OR(TRIM(AI251&amp;"")&lt;&gt;"",AND(Skills!$B$9&lt;&gt;"",ISNUMBER(SEARCH(Skills!$B$9,AU251)))),1,0))</f>
        <v/>
      </c>
      <c r="BC251" s="23">
        <f>IF(AR251="","",IF(OR(TRIM(AJ251&amp;"")&lt;&gt;"",AND(Skills!$B$10&lt;&gt;"",ISNUMBER(SEARCH(Skills!$B$10,AU251)))),1,0))</f>
        <v/>
      </c>
      <c r="BD251" s="23">
        <f>IF(AR251="","",IF(OR(TRIM(AK251&amp;"")&lt;&gt;"",AND(Skills!$B$11&lt;&gt;"",ISNUMBER(SEARCH(Skills!$B$11,AU251)))),1,0))</f>
        <v/>
      </c>
      <c r="BE251" s="23">
        <f>IF(AR251="","",IF(OR(TRIM(AL251&amp;"")&lt;&gt;"",AND(Skills!$B$12&lt;&gt;"",ISNUMBER(SEARCH(Skills!$B$12,AU251)))),1,0))</f>
        <v/>
      </c>
      <c r="BF251" s="23">
        <f>IF(AR251="","",IF(OR(TRIM(AM251&amp;"")&lt;&gt;"",AND(Skills!$B$13&lt;&gt;"",ISNUMBER(SEARCH(Skills!$B$13,AU251)))),1,0))</f>
        <v/>
      </c>
      <c r="BG251" s="23">
        <f>IF(AR251="","",IF(OR(TRIM(AN251&amp;"")&lt;&gt;"",AND(Skills!$B$14&lt;&gt;"",ISNUMBER(SEARCH(Skills!$B$14,AU251)))),1,0))</f>
        <v/>
      </c>
      <c r="BH251" s="23">
        <f>IF(AR251="","",IF(OR(TRIM(AO251&amp;"")&lt;&gt;"",AND(Skills!$B$15&lt;&gt;"",ISNUMBER(SEARCH(Skills!$B$15,AU251)))),1,0))</f>
        <v/>
      </c>
      <c r="BI251" s="23">
        <f>IF(AR251="","",IF(OR(TRIM(AP251&amp;"")&lt;&gt;"",AND(Skills!$B$16&lt;&gt;"",ISNUMBER(SEARCH(Skills!$B$16,AU251)))),1,0))</f>
        <v/>
      </c>
      <c r="BJ251" s="23">
        <f>IF(AR251="","",SUMPRODUCT($AX251:$BI251,Skills!$B$20:$M$20))</f>
        <v/>
      </c>
      <c r="BK251" s="23">
        <f>IF(AR251="","",BJ251*100000+(100000-ROW()))</f>
        <v/>
      </c>
      <c r="BL251" s="31">
        <f>IF(AR251="","",IF((IF(AND(AX251=1,Skills!$B$20=1),Skills!$B$5&amp;", ","")&amp;IF(AND(AY251=1,Skills!$C$20=1),Skills!$B$6&amp;", ","")&amp;IF(AND(AZ251=1,Skills!$D$20=1),Skills!$B$7&amp;", ","")&amp;IF(AND(BA251=1,Skills!$E$20=1),Skills!$B$8&amp;", ","")&amp;IF(AND(BB251=1,Skills!$F$20=1),Skills!$B$9&amp;", ","")&amp;IF(AND(BC251=1,Skills!$G$20=1),Skills!$B$10&amp;", ","")&amp;IF(AND(BD251=1,Skills!$H$20=1),Skills!$B$11&amp;", ","")&amp;IF(AND(BE251=1,Skills!$I$20=1),Skills!$B$12&amp;", ","")&amp;IF(AND(BF251=1,Skills!$J$20=1),Skills!$B$13&amp;", ","")&amp;IF(AND(BG251=1,Skills!$K$20=1),Skills!$B$14&amp;", ","")&amp;IF(AND(BH251=1,Skills!$L$20=1),Skills!$B$15&amp;", ","")&amp;IF(AND(BI251=1,Skills!$M$20=1),Skills!$B$16&amp;", ",""))="","",LEFT(IF(AND(AX251=1,Skills!$B$20=1),Skills!$B$5&amp;", ","")&amp;IF(AND(AY251=1,Skills!$C$20=1),Skills!$B$6&amp;", ","")&amp;IF(AND(AZ251=1,Skills!$D$20=1),Skills!$B$7&amp;", ","")&amp;IF(AND(BA251=1,Skills!$E$20=1),Skills!$B$8&amp;", ","")&amp;IF(AND(BB251=1,Skills!$F$20=1),Skills!$B$9&amp;", ","")&amp;IF(AND(BC251=1,Skills!$G$20=1),Skills!$B$10&amp;", ","")&amp;IF(AND(BD251=1,Skills!$H$20=1),Skills!$B$11&amp;", ","")&amp;IF(AND(BE251=1,Skills!$I$20=1),Skills!$B$12&amp;", ","")&amp;IF(AND(BF251=1,Skills!$J$20=1),Skills!$B$13&amp;", ","")&amp;IF(AND(BG251=1,Skills!$K$20=1),Skills!$B$14&amp;", ","")&amp;IF(AND(BH251=1,Skills!$L$20=1),Skills!$B$15&amp;", ","")&amp;IF(AND(BI251=1,Skills!$M$20=1),Skills!$B$16&amp;", ",""),LEN(IF(AND(AX251=1,Skills!$B$20=1),Skills!$B$5&amp;", ","")&amp;IF(AND(AY251=1,Skills!$C$20=1),Skills!$B$6&amp;", ","")&amp;IF(AND(AZ251=1,Skills!$D$20=1),Skills!$B$7&amp;", ","")&amp;IF(AND(BA251=1,Skills!$E$20=1),Skills!$B$8&amp;", ","")&amp;IF(AND(BB251=1,Skills!$F$20=1),Skills!$B$9&amp;", ","")&amp;IF(AND(BC251=1,Skills!$G$20=1),Skills!$B$10&amp;", ","")&amp;IF(AND(BD251=1,Skills!$H$20=1),Skills!$B$11&amp;", ","")&amp;IF(AND(BE251=1,Skills!$I$20=1),Skills!$B$12&amp;", ","")&amp;IF(AND(BF251=1,Skills!$J$20=1),Skills!$B$13&amp;", ","")&amp;IF(AND(BG251=1,Skills!$K$20=1),Skills!$B$14&amp;", ","")&amp;IF(AND(BH251=1,Skills!$L$20=1),Skills!$B$15&amp;", ","")&amp;IF(AND(BI251=1,Skills!$M$20=1),Skills!$B$16&amp;", ",""))-2)))</f>
        <v/>
      </c>
    </row>
    <row r="252">
      <c r="AD252" s="20" t="n"/>
      <c r="AE252" s="20" t="n"/>
      <c r="AF252" s="20" t="n"/>
      <c r="AG252" s="20" t="n"/>
      <c r="AH252" s="20" t="n"/>
      <c r="AI252" s="20" t="n"/>
      <c r="AJ252" s="20" t="n"/>
      <c r="AK252" s="20" t="n"/>
      <c r="AL252" s="20" t="n"/>
      <c r="AM252" s="20" t="n"/>
      <c r="AN252" s="20" t="n"/>
      <c r="AO252" s="20" t="n"/>
      <c r="AP252" s="20" t="n"/>
      <c r="AR252" s="31">
        <f>IF(IFERROR(TRIM(INDEX($A252:$AB252,MATCH(Lists!$B$5,$A$1:$AB$1,0))&amp;""),"")&lt;&gt;"",IFERROR(TRIM(INDEX($A252:$AB252,MATCH(Lists!$B$5,$A$1:$AB$1,0))&amp;""),""),IFERROR(TRIM(INDEX($A252:$AB252,MATCH(Lists!$B$3,$A$1:$AB$1,0))&amp;""),""))</f>
        <v/>
      </c>
      <c r="AS252" s="31">
        <f>IF(AR252="","",IF(IFERROR(TRIM(INDEX($A252:$AB252,MATCH(Lists!$B$5,$A$1:$AB$1,0))&amp;""),"")&lt;&gt;"","Nominated","Applied"))</f>
        <v/>
      </c>
      <c r="AT252" s="31">
        <f>IF(AR252="","",IF(IFERROR(TRIM(INDEX($A252:$AB252,MATCH(Lists!$B$5,$A$1:$AB$1,0))&amp;""),"")&lt;&gt;"",IFERROR(TRIM(INDEX($A252:$AB252,MATCH(Lists!$B$6,$A$1:$AB$1,0))&amp;""),""),IFERROR(TRIM(INDEX($A252:$AB252,MATCH(Lists!$B$4,$A$1:$AB$1,0))&amp;""),"")))</f>
        <v/>
      </c>
      <c r="AU252" s="31">
        <f>IF(AR252="","",IFERROR(TRIM(INDEX($A252:$AB252,MATCH(Lists!$B$7,$A$1:$AB$1,0))&amp;""),""))</f>
        <v/>
      </c>
      <c r="AV252" s="31">
        <f>IF(AR252="","",IFERROR(TRIM(INDEX($A252:$AB252,MATCH(Lists!$B$9,$A$1:$AB$1,0))&amp;""),""))</f>
        <v/>
      </c>
      <c r="AW252" s="31">
        <f>IF(AR252="","",IFERROR(TRIM(INDEX($A252:$AB252,MATCH(Lists!$B$8,$A$1:$AB$1,0))&amp;""),""))</f>
        <v/>
      </c>
      <c r="AX252" s="23">
        <f>IF(AR252="","",IF(OR(TRIM(AE252&amp;"")&lt;&gt;"",AND(Skills!$B$5&lt;&gt;"",ISNUMBER(SEARCH(Skills!$B$5,AU252)))),1,0))</f>
        <v/>
      </c>
      <c r="AY252" s="23">
        <f>IF(AR252="","",IF(OR(TRIM(AF252&amp;"")&lt;&gt;"",AND(Skills!$B$6&lt;&gt;"",ISNUMBER(SEARCH(Skills!$B$6,AU252)))),1,0))</f>
        <v/>
      </c>
      <c r="AZ252" s="23">
        <f>IF(AR252="","",IF(OR(TRIM(AG252&amp;"")&lt;&gt;"",AND(Skills!$B$7&lt;&gt;"",ISNUMBER(SEARCH(Skills!$B$7,AU252)))),1,0))</f>
        <v/>
      </c>
      <c r="BA252" s="23">
        <f>IF(AR252="","",IF(OR(TRIM(AH252&amp;"")&lt;&gt;"",AND(Skills!$B$8&lt;&gt;"",ISNUMBER(SEARCH(Skills!$B$8,AU252)))),1,0))</f>
        <v/>
      </c>
      <c r="BB252" s="23">
        <f>IF(AR252="","",IF(OR(TRIM(AI252&amp;"")&lt;&gt;"",AND(Skills!$B$9&lt;&gt;"",ISNUMBER(SEARCH(Skills!$B$9,AU252)))),1,0))</f>
        <v/>
      </c>
      <c r="BC252" s="23">
        <f>IF(AR252="","",IF(OR(TRIM(AJ252&amp;"")&lt;&gt;"",AND(Skills!$B$10&lt;&gt;"",ISNUMBER(SEARCH(Skills!$B$10,AU252)))),1,0))</f>
        <v/>
      </c>
      <c r="BD252" s="23">
        <f>IF(AR252="","",IF(OR(TRIM(AK252&amp;"")&lt;&gt;"",AND(Skills!$B$11&lt;&gt;"",ISNUMBER(SEARCH(Skills!$B$11,AU252)))),1,0))</f>
        <v/>
      </c>
      <c r="BE252" s="23">
        <f>IF(AR252="","",IF(OR(TRIM(AL252&amp;"")&lt;&gt;"",AND(Skills!$B$12&lt;&gt;"",ISNUMBER(SEARCH(Skills!$B$12,AU252)))),1,0))</f>
        <v/>
      </c>
      <c r="BF252" s="23">
        <f>IF(AR252="","",IF(OR(TRIM(AM252&amp;"")&lt;&gt;"",AND(Skills!$B$13&lt;&gt;"",ISNUMBER(SEARCH(Skills!$B$13,AU252)))),1,0))</f>
        <v/>
      </c>
      <c r="BG252" s="23">
        <f>IF(AR252="","",IF(OR(TRIM(AN252&amp;"")&lt;&gt;"",AND(Skills!$B$14&lt;&gt;"",ISNUMBER(SEARCH(Skills!$B$14,AU252)))),1,0))</f>
        <v/>
      </c>
      <c r="BH252" s="23">
        <f>IF(AR252="","",IF(OR(TRIM(AO252&amp;"")&lt;&gt;"",AND(Skills!$B$15&lt;&gt;"",ISNUMBER(SEARCH(Skills!$B$15,AU252)))),1,0))</f>
        <v/>
      </c>
      <c r="BI252" s="23">
        <f>IF(AR252="","",IF(OR(TRIM(AP252&amp;"")&lt;&gt;"",AND(Skills!$B$16&lt;&gt;"",ISNUMBER(SEARCH(Skills!$B$16,AU252)))),1,0))</f>
        <v/>
      </c>
      <c r="BJ252" s="23">
        <f>IF(AR252="","",SUMPRODUCT($AX252:$BI252,Skills!$B$20:$M$20))</f>
        <v/>
      </c>
      <c r="BK252" s="23">
        <f>IF(AR252="","",BJ252*100000+(100000-ROW()))</f>
        <v/>
      </c>
      <c r="BL252" s="31">
        <f>IF(AR252="","",IF((IF(AND(AX252=1,Skills!$B$20=1),Skills!$B$5&amp;", ","")&amp;IF(AND(AY252=1,Skills!$C$20=1),Skills!$B$6&amp;", ","")&amp;IF(AND(AZ252=1,Skills!$D$20=1),Skills!$B$7&amp;", ","")&amp;IF(AND(BA252=1,Skills!$E$20=1),Skills!$B$8&amp;", ","")&amp;IF(AND(BB252=1,Skills!$F$20=1),Skills!$B$9&amp;", ","")&amp;IF(AND(BC252=1,Skills!$G$20=1),Skills!$B$10&amp;", ","")&amp;IF(AND(BD252=1,Skills!$H$20=1),Skills!$B$11&amp;", ","")&amp;IF(AND(BE252=1,Skills!$I$20=1),Skills!$B$12&amp;", ","")&amp;IF(AND(BF252=1,Skills!$J$20=1),Skills!$B$13&amp;", ","")&amp;IF(AND(BG252=1,Skills!$K$20=1),Skills!$B$14&amp;", ","")&amp;IF(AND(BH252=1,Skills!$L$20=1),Skills!$B$15&amp;", ","")&amp;IF(AND(BI252=1,Skills!$M$20=1),Skills!$B$16&amp;", ",""))="","",LEFT(IF(AND(AX252=1,Skills!$B$20=1),Skills!$B$5&amp;", ","")&amp;IF(AND(AY252=1,Skills!$C$20=1),Skills!$B$6&amp;", ","")&amp;IF(AND(AZ252=1,Skills!$D$20=1),Skills!$B$7&amp;", ","")&amp;IF(AND(BA252=1,Skills!$E$20=1),Skills!$B$8&amp;", ","")&amp;IF(AND(BB252=1,Skills!$F$20=1),Skills!$B$9&amp;", ","")&amp;IF(AND(BC252=1,Skills!$G$20=1),Skills!$B$10&amp;", ","")&amp;IF(AND(BD252=1,Skills!$H$20=1),Skills!$B$11&amp;", ","")&amp;IF(AND(BE252=1,Skills!$I$20=1),Skills!$B$12&amp;", ","")&amp;IF(AND(BF252=1,Skills!$J$20=1),Skills!$B$13&amp;", ","")&amp;IF(AND(BG252=1,Skills!$K$20=1),Skills!$B$14&amp;", ","")&amp;IF(AND(BH252=1,Skills!$L$20=1),Skills!$B$15&amp;", ","")&amp;IF(AND(BI252=1,Skills!$M$20=1),Skills!$B$16&amp;", ",""),LEN(IF(AND(AX252=1,Skills!$B$20=1),Skills!$B$5&amp;", ","")&amp;IF(AND(AY252=1,Skills!$C$20=1),Skills!$B$6&amp;", ","")&amp;IF(AND(AZ252=1,Skills!$D$20=1),Skills!$B$7&amp;", ","")&amp;IF(AND(BA252=1,Skills!$E$20=1),Skills!$B$8&amp;", ","")&amp;IF(AND(BB252=1,Skills!$F$20=1),Skills!$B$9&amp;", ","")&amp;IF(AND(BC252=1,Skills!$G$20=1),Skills!$B$10&amp;", ","")&amp;IF(AND(BD252=1,Skills!$H$20=1),Skills!$B$11&amp;", ","")&amp;IF(AND(BE252=1,Skills!$I$20=1),Skills!$B$12&amp;", ","")&amp;IF(AND(BF252=1,Skills!$J$20=1),Skills!$B$13&amp;", ","")&amp;IF(AND(BG252=1,Skills!$K$20=1),Skills!$B$14&amp;", ","")&amp;IF(AND(BH252=1,Skills!$L$20=1),Skills!$B$15&amp;", ","")&amp;IF(AND(BI252=1,Skills!$M$20=1),Skills!$B$16&amp;", ",""))-2)))</f>
        <v/>
      </c>
    </row>
    <row r="253">
      <c r="AD253" s="20" t="n"/>
      <c r="AE253" s="20" t="n"/>
      <c r="AF253" s="20" t="n"/>
      <c r="AG253" s="20" t="n"/>
      <c r="AH253" s="20" t="n"/>
      <c r="AI253" s="20" t="n"/>
      <c r="AJ253" s="20" t="n"/>
      <c r="AK253" s="20" t="n"/>
      <c r="AL253" s="20" t="n"/>
      <c r="AM253" s="20" t="n"/>
      <c r="AN253" s="20" t="n"/>
      <c r="AO253" s="20" t="n"/>
      <c r="AP253" s="20" t="n"/>
      <c r="AR253" s="31">
        <f>IF(IFERROR(TRIM(INDEX($A253:$AB253,MATCH(Lists!$B$5,$A$1:$AB$1,0))&amp;""),"")&lt;&gt;"",IFERROR(TRIM(INDEX($A253:$AB253,MATCH(Lists!$B$5,$A$1:$AB$1,0))&amp;""),""),IFERROR(TRIM(INDEX($A253:$AB253,MATCH(Lists!$B$3,$A$1:$AB$1,0))&amp;""),""))</f>
        <v/>
      </c>
      <c r="AS253" s="31">
        <f>IF(AR253="","",IF(IFERROR(TRIM(INDEX($A253:$AB253,MATCH(Lists!$B$5,$A$1:$AB$1,0))&amp;""),"")&lt;&gt;"","Nominated","Applied"))</f>
        <v/>
      </c>
      <c r="AT253" s="31">
        <f>IF(AR253="","",IF(IFERROR(TRIM(INDEX($A253:$AB253,MATCH(Lists!$B$5,$A$1:$AB$1,0))&amp;""),"")&lt;&gt;"",IFERROR(TRIM(INDEX($A253:$AB253,MATCH(Lists!$B$6,$A$1:$AB$1,0))&amp;""),""),IFERROR(TRIM(INDEX($A253:$AB253,MATCH(Lists!$B$4,$A$1:$AB$1,0))&amp;""),"")))</f>
        <v/>
      </c>
      <c r="AU253" s="31">
        <f>IF(AR253="","",IFERROR(TRIM(INDEX($A253:$AB253,MATCH(Lists!$B$7,$A$1:$AB$1,0))&amp;""),""))</f>
        <v/>
      </c>
      <c r="AV253" s="31">
        <f>IF(AR253="","",IFERROR(TRIM(INDEX($A253:$AB253,MATCH(Lists!$B$9,$A$1:$AB$1,0))&amp;""),""))</f>
        <v/>
      </c>
      <c r="AW253" s="31">
        <f>IF(AR253="","",IFERROR(TRIM(INDEX($A253:$AB253,MATCH(Lists!$B$8,$A$1:$AB$1,0))&amp;""),""))</f>
        <v/>
      </c>
      <c r="AX253" s="23">
        <f>IF(AR253="","",IF(OR(TRIM(AE253&amp;"")&lt;&gt;"",AND(Skills!$B$5&lt;&gt;"",ISNUMBER(SEARCH(Skills!$B$5,AU253)))),1,0))</f>
        <v/>
      </c>
      <c r="AY253" s="23">
        <f>IF(AR253="","",IF(OR(TRIM(AF253&amp;"")&lt;&gt;"",AND(Skills!$B$6&lt;&gt;"",ISNUMBER(SEARCH(Skills!$B$6,AU253)))),1,0))</f>
        <v/>
      </c>
      <c r="AZ253" s="23">
        <f>IF(AR253="","",IF(OR(TRIM(AG253&amp;"")&lt;&gt;"",AND(Skills!$B$7&lt;&gt;"",ISNUMBER(SEARCH(Skills!$B$7,AU253)))),1,0))</f>
        <v/>
      </c>
      <c r="BA253" s="23">
        <f>IF(AR253="","",IF(OR(TRIM(AH253&amp;"")&lt;&gt;"",AND(Skills!$B$8&lt;&gt;"",ISNUMBER(SEARCH(Skills!$B$8,AU253)))),1,0))</f>
        <v/>
      </c>
      <c r="BB253" s="23">
        <f>IF(AR253="","",IF(OR(TRIM(AI253&amp;"")&lt;&gt;"",AND(Skills!$B$9&lt;&gt;"",ISNUMBER(SEARCH(Skills!$B$9,AU253)))),1,0))</f>
        <v/>
      </c>
      <c r="BC253" s="23">
        <f>IF(AR253="","",IF(OR(TRIM(AJ253&amp;"")&lt;&gt;"",AND(Skills!$B$10&lt;&gt;"",ISNUMBER(SEARCH(Skills!$B$10,AU253)))),1,0))</f>
        <v/>
      </c>
      <c r="BD253" s="23">
        <f>IF(AR253="","",IF(OR(TRIM(AK253&amp;"")&lt;&gt;"",AND(Skills!$B$11&lt;&gt;"",ISNUMBER(SEARCH(Skills!$B$11,AU253)))),1,0))</f>
        <v/>
      </c>
      <c r="BE253" s="23">
        <f>IF(AR253="","",IF(OR(TRIM(AL253&amp;"")&lt;&gt;"",AND(Skills!$B$12&lt;&gt;"",ISNUMBER(SEARCH(Skills!$B$12,AU253)))),1,0))</f>
        <v/>
      </c>
      <c r="BF253" s="23">
        <f>IF(AR253="","",IF(OR(TRIM(AM253&amp;"")&lt;&gt;"",AND(Skills!$B$13&lt;&gt;"",ISNUMBER(SEARCH(Skills!$B$13,AU253)))),1,0))</f>
        <v/>
      </c>
      <c r="BG253" s="23">
        <f>IF(AR253="","",IF(OR(TRIM(AN253&amp;"")&lt;&gt;"",AND(Skills!$B$14&lt;&gt;"",ISNUMBER(SEARCH(Skills!$B$14,AU253)))),1,0))</f>
        <v/>
      </c>
      <c r="BH253" s="23">
        <f>IF(AR253="","",IF(OR(TRIM(AO253&amp;"")&lt;&gt;"",AND(Skills!$B$15&lt;&gt;"",ISNUMBER(SEARCH(Skills!$B$15,AU253)))),1,0))</f>
        <v/>
      </c>
      <c r="BI253" s="23">
        <f>IF(AR253="","",IF(OR(TRIM(AP253&amp;"")&lt;&gt;"",AND(Skills!$B$16&lt;&gt;"",ISNUMBER(SEARCH(Skills!$B$16,AU253)))),1,0))</f>
        <v/>
      </c>
      <c r="BJ253" s="23">
        <f>IF(AR253="","",SUMPRODUCT($AX253:$BI253,Skills!$B$20:$M$20))</f>
        <v/>
      </c>
      <c r="BK253" s="23">
        <f>IF(AR253="","",BJ253*100000+(100000-ROW()))</f>
        <v/>
      </c>
      <c r="BL253" s="31">
        <f>IF(AR253="","",IF((IF(AND(AX253=1,Skills!$B$20=1),Skills!$B$5&amp;", ","")&amp;IF(AND(AY253=1,Skills!$C$20=1),Skills!$B$6&amp;", ","")&amp;IF(AND(AZ253=1,Skills!$D$20=1),Skills!$B$7&amp;", ","")&amp;IF(AND(BA253=1,Skills!$E$20=1),Skills!$B$8&amp;", ","")&amp;IF(AND(BB253=1,Skills!$F$20=1),Skills!$B$9&amp;", ","")&amp;IF(AND(BC253=1,Skills!$G$20=1),Skills!$B$10&amp;", ","")&amp;IF(AND(BD253=1,Skills!$H$20=1),Skills!$B$11&amp;", ","")&amp;IF(AND(BE253=1,Skills!$I$20=1),Skills!$B$12&amp;", ","")&amp;IF(AND(BF253=1,Skills!$J$20=1),Skills!$B$13&amp;", ","")&amp;IF(AND(BG253=1,Skills!$K$20=1),Skills!$B$14&amp;", ","")&amp;IF(AND(BH253=1,Skills!$L$20=1),Skills!$B$15&amp;", ","")&amp;IF(AND(BI253=1,Skills!$M$20=1),Skills!$B$16&amp;", ",""))="","",LEFT(IF(AND(AX253=1,Skills!$B$20=1),Skills!$B$5&amp;", ","")&amp;IF(AND(AY253=1,Skills!$C$20=1),Skills!$B$6&amp;", ","")&amp;IF(AND(AZ253=1,Skills!$D$20=1),Skills!$B$7&amp;", ","")&amp;IF(AND(BA253=1,Skills!$E$20=1),Skills!$B$8&amp;", ","")&amp;IF(AND(BB253=1,Skills!$F$20=1),Skills!$B$9&amp;", ","")&amp;IF(AND(BC253=1,Skills!$G$20=1),Skills!$B$10&amp;", ","")&amp;IF(AND(BD253=1,Skills!$H$20=1),Skills!$B$11&amp;", ","")&amp;IF(AND(BE253=1,Skills!$I$20=1),Skills!$B$12&amp;", ","")&amp;IF(AND(BF253=1,Skills!$J$20=1),Skills!$B$13&amp;", ","")&amp;IF(AND(BG253=1,Skills!$K$20=1),Skills!$B$14&amp;", ","")&amp;IF(AND(BH253=1,Skills!$L$20=1),Skills!$B$15&amp;", ","")&amp;IF(AND(BI253=1,Skills!$M$20=1),Skills!$B$16&amp;", ",""),LEN(IF(AND(AX253=1,Skills!$B$20=1),Skills!$B$5&amp;", ","")&amp;IF(AND(AY253=1,Skills!$C$20=1),Skills!$B$6&amp;", ","")&amp;IF(AND(AZ253=1,Skills!$D$20=1),Skills!$B$7&amp;", ","")&amp;IF(AND(BA253=1,Skills!$E$20=1),Skills!$B$8&amp;", ","")&amp;IF(AND(BB253=1,Skills!$F$20=1),Skills!$B$9&amp;", ","")&amp;IF(AND(BC253=1,Skills!$G$20=1),Skills!$B$10&amp;", ","")&amp;IF(AND(BD253=1,Skills!$H$20=1),Skills!$B$11&amp;", ","")&amp;IF(AND(BE253=1,Skills!$I$20=1),Skills!$B$12&amp;", ","")&amp;IF(AND(BF253=1,Skills!$J$20=1),Skills!$B$13&amp;", ","")&amp;IF(AND(BG253=1,Skills!$K$20=1),Skills!$B$14&amp;", ","")&amp;IF(AND(BH253=1,Skills!$L$20=1),Skills!$B$15&amp;", ","")&amp;IF(AND(BI253=1,Skills!$M$20=1),Skills!$B$16&amp;", ",""))-2)))</f>
        <v/>
      </c>
    </row>
    <row r="254">
      <c r="AD254" s="20" t="n"/>
      <c r="AE254" s="20" t="n"/>
      <c r="AF254" s="20" t="n"/>
      <c r="AG254" s="20" t="n"/>
      <c r="AH254" s="20" t="n"/>
      <c r="AI254" s="20" t="n"/>
      <c r="AJ254" s="20" t="n"/>
      <c r="AK254" s="20" t="n"/>
      <c r="AL254" s="20" t="n"/>
      <c r="AM254" s="20" t="n"/>
      <c r="AN254" s="20" t="n"/>
      <c r="AO254" s="20" t="n"/>
      <c r="AP254" s="20" t="n"/>
      <c r="AR254" s="31">
        <f>IF(IFERROR(TRIM(INDEX($A254:$AB254,MATCH(Lists!$B$5,$A$1:$AB$1,0))&amp;""),"")&lt;&gt;"",IFERROR(TRIM(INDEX($A254:$AB254,MATCH(Lists!$B$5,$A$1:$AB$1,0))&amp;""),""),IFERROR(TRIM(INDEX($A254:$AB254,MATCH(Lists!$B$3,$A$1:$AB$1,0))&amp;""),""))</f>
        <v/>
      </c>
      <c r="AS254" s="31">
        <f>IF(AR254="","",IF(IFERROR(TRIM(INDEX($A254:$AB254,MATCH(Lists!$B$5,$A$1:$AB$1,0))&amp;""),"")&lt;&gt;"","Nominated","Applied"))</f>
        <v/>
      </c>
      <c r="AT254" s="31">
        <f>IF(AR254="","",IF(IFERROR(TRIM(INDEX($A254:$AB254,MATCH(Lists!$B$5,$A$1:$AB$1,0))&amp;""),"")&lt;&gt;"",IFERROR(TRIM(INDEX($A254:$AB254,MATCH(Lists!$B$6,$A$1:$AB$1,0))&amp;""),""),IFERROR(TRIM(INDEX($A254:$AB254,MATCH(Lists!$B$4,$A$1:$AB$1,0))&amp;""),"")))</f>
        <v/>
      </c>
      <c r="AU254" s="31">
        <f>IF(AR254="","",IFERROR(TRIM(INDEX($A254:$AB254,MATCH(Lists!$B$7,$A$1:$AB$1,0))&amp;""),""))</f>
        <v/>
      </c>
      <c r="AV254" s="31">
        <f>IF(AR254="","",IFERROR(TRIM(INDEX($A254:$AB254,MATCH(Lists!$B$9,$A$1:$AB$1,0))&amp;""),""))</f>
        <v/>
      </c>
      <c r="AW254" s="31">
        <f>IF(AR254="","",IFERROR(TRIM(INDEX($A254:$AB254,MATCH(Lists!$B$8,$A$1:$AB$1,0))&amp;""),""))</f>
        <v/>
      </c>
      <c r="AX254" s="23">
        <f>IF(AR254="","",IF(OR(TRIM(AE254&amp;"")&lt;&gt;"",AND(Skills!$B$5&lt;&gt;"",ISNUMBER(SEARCH(Skills!$B$5,AU254)))),1,0))</f>
        <v/>
      </c>
      <c r="AY254" s="23">
        <f>IF(AR254="","",IF(OR(TRIM(AF254&amp;"")&lt;&gt;"",AND(Skills!$B$6&lt;&gt;"",ISNUMBER(SEARCH(Skills!$B$6,AU254)))),1,0))</f>
        <v/>
      </c>
      <c r="AZ254" s="23">
        <f>IF(AR254="","",IF(OR(TRIM(AG254&amp;"")&lt;&gt;"",AND(Skills!$B$7&lt;&gt;"",ISNUMBER(SEARCH(Skills!$B$7,AU254)))),1,0))</f>
        <v/>
      </c>
      <c r="BA254" s="23">
        <f>IF(AR254="","",IF(OR(TRIM(AH254&amp;"")&lt;&gt;"",AND(Skills!$B$8&lt;&gt;"",ISNUMBER(SEARCH(Skills!$B$8,AU254)))),1,0))</f>
        <v/>
      </c>
      <c r="BB254" s="23">
        <f>IF(AR254="","",IF(OR(TRIM(AI254&amp;"")&lt;&gt;"",AND(Skills!$B$9&lt;&gt;"",ISNUMBER(SEARCH(Skills!$B$9,AU254)))),1,0))</f>
        <v/>
      </c>
      <c r="BC254" s="23">
        <f>IF(AR254="","",IF(OR(TRIM(AJ254&amp;"")&lt;&gt;"",AND(Skills!$B$10&lt;&gt;"",ISNUMBER(SEARCH(Skills!$B$10,AU254)))),1,0))</f>
        <v/>
      </c>
      <c r="BD254" s="23">
        <f>IF(AR254="","",IF(OR(TRIM(AK254&amp;"")&lt;&gt;"",AND(Skills!$B$11&lt;&gt;"",ISNUMBER(SEARCH(Skills!$B$11,AU254)))),1,0))</f>
        <v/>
      </c>
      <c r="BE254" s="23">
        <f>IF(AR254="","",IF(OR(TRIM(AL254&amp;"")&lt;&gt;"",AND(Skills!$B$12&lt;&gt;"",ISNUMBER(SEARCH(Skills!$B$12,AU254)))),1,0))</f>
        <v/>
      </c>
      <c r="BF254" s="23">
        <f>IF(AR254="","",IF(OR(TRIM(AM254&amp;"")&lt;&gt;"",AND(Skills!$B$13&lt;&gt;"",ISNUMBER(SEARCH(Skills!$B$13,AU254)))),1,0))</f>
        <v/>
      </c>
      <c r="BG254" s="23">
        <f>IF(AR254="","",IF(OR(TRIM(AN254&amp;"")&lt;&gt;"",AND(Skills!$B$14&lt;&gt;"",ISNUMBER(SEARCH(Skills!$B$14,AU254)))),1,0))</f>
        <v/>
      </c>
      <c r="BH254" s="23">
        <f>IF(AR254="","",IF(OR(TRIM(AO254&amp;"")&lt;&gt;"",AND(Skills!$B$15&lt;&gt;"",ISNUMBER(SEARCH(Skills!$B$15,AU254)))),1,0))</f>
        <v/>
      </c>
      <c r="BI254" s="23">
        <f>IF(AR254="","",IF(OR(TRIM(AP254&amp;"")&lt;&gt;"",AND(Skills!$B$16&lt;&gt;"",ISNUMBER(SEARCH(Skills!$B$16,AU254)))),1,0))</f>
        <v/>
      </c>
      <c r="BJ254" s="23">
        <f>IF(AR254="","",SUMPRODUCT($AX254:$BI254,Skills!$B$20:$M$20))</f>
        <v/>
      </c>
      <c r="BK254" s="23">
        <f>IF(AR254="","",BJ254*100000+(100000-ROW()))</f>
        <v/>
      </c>
      <c r="BL254" s="31">
        <f>IF(AR254="","",IF((IF(AND(AX254=1,Skills!$B$20=1),Skills!$B$5&amp;", ","")&amp;IF(AND(AY254=1,Skills!$C$20=1),Skills!$B$6&amp;", ","")&amp;IF(AND(AZ254=1,Skills!$D$20=1),Skills!$B$7&amp;", ","")&amp;IF(AND(BA254=1,Skills!$E$20=1),Skills!$B$8&amp;", ","")&amp;IF(AND(BB254=1,Skills!$F$20=1),Skills!$B$9&amp;", ","")&amp;IF(AND(BC254=1,Skills!$G$20=1),Skills!$B$10&amp;", ","")&amp;IF(AND(BD254=1,Skills!$H$20=1),Skills!$B$11&amp;", ","")&amp;IF(AND(BE254=1,Skills!$I$20=1),Skills!$B$12&amp;", ","")&amp;IF(AND(BF254=1,Skills!$J$20=1),Skills!$B$13&amp;", ","")&amp;IF(AND(BG254=1,Skills!$K$20=1),Skills!$B$14&amp;", ","")&amp;IF(AND(BH254=1,Skills!$L$20=1),Skills!$B$15&amp;", ","")&amp;IF(AND(BI254=1,Skills!$M$20=1),Skills!$B$16&amp;", ",""))="","",LEFT(IF(AND(AX254=1,Skills!$B$20=1),Skills!$B$5&amp;", ","")&amp;IF(AND(AY254=1,Skills!$C$20=1),Skills!$B$6&amp;", ","")&amp;IF(AND(AZ254=1,Skills!$D$20=1),Skills!$B$7&amp;", ","")&amp;IF(AND(BA254=1,Skills!$E$20=1),Skills!$B$8&amp;", ","")&amp;IF(AND(BB254=1,Skills!$F$20=1),Skills!$B$9&amp;", ","")&amp;IF(AND(BC254=1,Skills!$G$20=1),Skills!$B$10&amp;", ","")&amp;IF(AND(BD254=1,Skills!$H$20=1),Skills!$B$11&amp;", ","")&amp;IF(AND(BE254=1,Skills!$I$20=1),Skills!$B$12&amp;", ","")&amp;IF(AND(BF254=1,Skills!$J$20=1),Skills!$B$13&amp;", ","")&amp;IF(AND(BG254=1,Skills!$K$20=1),Skills!$B$14&amp;", ","")&amp;IF(AND(BH254=1,Skills!$L$20=1),Skills!$B$15&amp;", ","")&amp;IF(AND(BI254=1,Skills!$M$20=1),Skills!$B$16&amp;", ",""),LEN(IF(AND(AX254=1,Skills!$B$20=1),Skills!$B$5&amp;", ","")&amp;IF(AND(AY254=1,Skills!$C$20=1),Skills!$B$6&amp;", ","")&amp;IF(AND(AZ254=1,Skills!$D$20=1),Skills!$B$7&amp;", ","")&amp;IF(AND(BA254=1,Skills!$E$20=1),Skills!$B$8&amp;", ","")&amp;IF(AND(BB254=1,Skills!$F$20=1),Skills!$B$9&amp;", ","")&amp;IF(AND(BC254=1,Skills!$G$20=1),Skills!$B$10&amp;", ","")&amp;IF(AND(BD254=1,Skills!$H$20=1),Skills!$B$11&amp;", ","")&amp;IF(AND(BE254=1,Skills!$I$20=1),Skills!$B$12&amp;", ","")&amp;IF(AND(BF254=1,Skills!$J$20=1),Skills!$B$13&amp;", ","")&amp;IF(AND(BG254=1,Skills!$K$20=1),Skills!$B$14&amp;", ","")&amp;IF(AND(BH254=1,Skills!$L$20=1),Skills!$B$15&amp;", ","")&amp;IF(AND(BI254=1,Skills!$M$20=1),Skills!$B$16&amp;", ",""))-2)))</f>
        <v/>
      </c>
    </row>
    <row r="255">
      <c r="AD255" s="20" t="n"/>
      <c r="AE255" s="20" t="n"/>
      <c r="AF255" s="20" t="n"/>
      <c r="AG255" s="20" t="n"/>
      <c r="AH255" s="20" t="n"/>
      <c r="AI255" s="20" t="n"/>
      <c r="AJ255" s="20" t="n"/>
      <c r="AK255" s="20" t="n"/>
      <c r="AL255" s="20" t="n"/>
      <c r="AM255" s="20" t="n"/>
      <c r="AN255" s="20" t="n"/>
      <c r="AO255" s="20" t="n"/>
      <c r="AP255" s="20" t="n"/>
      <c r="AR255" s="31">
        <f>IF(IFERROR(TRIM(INDEX($A255:$AB255,MATCH(Lists!$B$5,$A$1:$AB$1,0))&amp;""),"")&lt;&gt;"",IFERROR(TRIM(INDEX($A255:$AB255,MATCH(Lists!$B$5,$A$1:$AB$1,0))&amp;""),""),IFERROR(TRIM(INDEX($A255:$AB255,MATCH(Lists!$B$3,$A$1:$AB$1,0))&amp;""),""))</f>
        <v/>
      </c>
      <c r="AS255" s="31">
        <f>IF(AR255="","",IF(IFERROR(TRIM(INDEX($A255:$AB255,MATCH(Lists!$B$5,$A$1:$AB$1,0))&amp;""),"")&lt;&gt;"","Nominated","Applied"))</f>
        <v/>
      </c>
      <c r="AT255" s="31">
        <f>IF(AR255="","",IF(IFERROR(TRIM(INDEX($A255:$AB255,MATCH(Lists!$B$5,$A$1:$AB$1,0))&amp;""),"")&lt;&gt;"",IFERROR(TRIM(INDEX($A255:$AB255,MATCH(Lists!$B$6,$A$1:$AB$1,0))&amp;""),""),IFERROR(TRIM(INDEX($A255:$AB255,MATCH(Lists!$B$4,$A$1:$AB$1,0))&amp;""),"")))</f>
        <v/>
      </c>
      <c r="AU255" s="31">
        <f>IF(AR255="","",IFERROR(TRIM(INDEX($A255:$AB255,MATCH(Lists!$B$7,$A$1:$AB$1,0))&amp;""),""))</f>
        <v/>
      </c>
      <c r="AV255" s="31">
        <f>IF(AR255="","",IFERROR(TRIM(INDEX($A255:$AB255,MATCH(Lists!$B$9,$A$1:$AB$1,0))&amp;""),""))</f>
        <v/>
      </c>
      <c r="AW255" s="31">
        <f>IF(AR255="","",IFERROR(TRIM(INDEX($A255:$AB255,MATCH(Lists!$B$8,$A$1:$AB$1,0))&amp;""),""))</f>
        <v/>
      </c>
      <c r="AX255" s="23">
        <f>IF(AR255="","",IF(OR(TRIM(AE255&amp;"")&lt;&gt;"",AND(Skills!$B$5&lt;&gt;"",ISNUMBER(SEARCH(Skills!$B$5,AU255)))),1,0))</f>
        <v/>
      </c>
      <c r="AY255" s="23">
        <f>IF(AR255="","",IF(OR(TRIM(AF255&amp;"")&lt;&gt;"",AND(Skills!$B$6&lt;&gt;"",ISNUMBER(SEARCH(Skills!$B$6,AU255)))),1,0))</f>
        <v/>
      </c>
      <c r="AZ255" s="23">
        <f>IF(AR255="","",IF(OR(TRIM(AG255&amp;"")&lt;&gt;"",AND(Skills!$B$7&lt;&gt;"",ISNUMBER(SEARCH(Skills!$B$7,AU255)))),1,0))</f>
        <v/>
      </c>
      <c r="BA255" s="23">
        <f>IF(AR255="","",IF(OR(TRIM(AH255&amp;"")&lt;&gt;"",AND(Skills!$B$8&lt;&gt;"",ISNUMBER(SEARCH(Skills!$B$8,AU255)))),1,0))</f>
        <v/>
      </c>
      <c r="BB255" s="23">
        <f>IF(AR255="","",IF(OR(TRIM(AI255&amp;"")&lt;&gt;"",AND(Skills!$B$9&lt;&gt;"",ISNUMBER(SEARCH(Skills!$B$9,AU255)))),1,0))</f>
        <v/>
      </c>
      <c r="BC255" s="23">
        <f>IF(AR255="","",IF(OR(TRIM(AJ255&amp;"")&lt;&gt;"",AND(Skills!$B$10&lt;&gt;"",ISNUMBER(SEARCH(Skills!$B$10,AU255)))),1,0))</f>
        <v/>
      </c>
      <c r="BD255" s="23">
        <f>IF(AR255="","",IF(OR(TRIM(AK255&amp;"")&lt;&gt;"",AND(Skills!$B$11&lt;&gt;"",ISNUMBER(SEARCH(Skills!$B$11,AU255)))),1,0))</f>
        <v/>
      </c>
      <c r="BE255" s="23">
        <f>IF(AR255="","",IF(OR(TRIM(AL255&amp;"")&lt;&gt;"",AND(Skills!$B$12&lt;&gt;"",ISNUMBER(SEARCH(Skills!$B$12,AU255)))),1,0))</f>
        <v/>
      </c>
      <c r="BF255" s="23">
        <f>IF(AR255="","",IF(OR(TRIM(AM255&amp;"")&lt;&gt;"",AND(Skills!$B$13&lt;&gt;"",ISNUMBER(SEARCH(Skills!$B$13,AU255)))),1,0))</f>
        <v/>
      </c>
      <c r="BG255" s="23">
        <f>IF(AR255="","",IF(OR(TRIM(AN255&amp;"")&lt;&gt;"",AND(Skills!$B$14&lt;&gt;"",ISNUMBER(SEARCH(Skills!$B$14,AU255)))),1,0))</f>
        <v/>
      </c>
      <c r="BH255" s="23">
        <f>IF(AR255="","",IF(OR(TRIM(AO255&amp;"")&lt;&gt;"",AND(Skills!$B$15&lt;&gt;"",ISNUMBER(SEARCH(Skills!$B$15,AU255)))),1,0))</f>
        <v/>
      </c>
      <c r="BI255" s="23">
        <f>IF(AR255="","",IF(OR(TRIM(AP255&amp;"")&lt;&gt;"",AND(Skills!$B$16&lt;&gt;"",ISNUMBER(SEARCH(Skills!$B$16,AU255)))),1,0))</f>
        <v/>
      </c>
      <c r="BJ255" s="23">
        <f>IF(AR255="","",SUMPRODUCT($AX255:$BI255,Skills!$B$20:$M$20))</f>
        <v/>
      </c>
      <c r="BK255" s="23">
        <f>IF(AR255="","",BJ255*100000+(100000-ROW()))</f>
        <v/>
      </c>
      <c r="BL255" s="31">
        <f>IF(AR255="","",IF((IF(AND(AX255=1,Skills!$B$20=1),Skills!$B$5&amp;", ","")&amp;IF(AND(AY255=1,Skills!$C$20=1),Skills!$B$6&amp;", ","")&amp;IF(AND(AZ255=1,Skills!$D$20=1),Skills!$B$7&amp;", ","")&amp;IF(AND(BA255=1,Skills!$E$20=1),Skills!$B$8&amp;", ","")&amp;IF(AND(BB255=1,Skills!$F$20=1),Skills!$B$9&amp;", ","")&amp;IF(AND(BC255=1,Skills!$G$20=1),Skills!$B$10&amp;", ","")&amp;IF(AND(BD255=1,Skills!$H$20=1),Skills!$B$11&amp;", ","")&amp;IF(AND(BE255=1,Skills!$I$20=1),Skills!$B$12&amp;", ","")&amp;IF(AND(BF255=1,Skills!$J$20=1),Skills!$B$13&amp;", ","")&amp;IF(AND(BG255=1,Skills!$K$20=1),Skills!$B$14&amp;", ","")&amp;IF(AND(BH255=1,Skills!$L$20=1),Skills!$B$15&amp;", ","")&amp;IF(AND(BI255=1,Skills!$M$20=1),Skills!$B$16&amp;", ",""))="","",LEFT(IF(AND(AX255=1,Skills!$B$20=1),Skills!$B$5&amp;", ","")&amp;IF(AND(AY255=1,Skills!$C$20=1),Skills!$B$6&amp;", ","")&amp;IF(AND(AZ255=1,Skills!$D$20=1),Skills!$B$7&amp;", ","")&amp;IF(AND(BA255=1,Skills!$E$20=1),Skills!$B$8&amp;", ","")&amp;IF(AND(BB255=1,Skills!$F$20=1),Skills!$B$9&amp;", ","")&amp;IF(AND(BC255=1,Skills!$G$20=1),Skills!$B$10&amp;", ","")&amp;IF(AND(BD255=1,Skills!$H$20=1),Skills!$B$11&amp;", ","")&amp;IF(AND(BE255=1,Skills!$I$20=1),Skills!$B$12&amp;", ","")&amp;IF(AND(BF255=1,Skills!$J$20=1),Skills!$B$13&amp;", ","")&amp;IF(AND(BG255=1,Skills!$K$20=1),Skills!$B$14&amp;", ","")&amp;IF(AND(BH255=1,Skills!$L$20=1),Skills!$B$15&amp;", ","")&amp;IF(AND(BI255=1,Skills!$M$20=1),Skills!$B$16&amp;", ",""),LEN(IF(AND(AX255=1,Skills!$B$20=1),Skills!$B$5&amp;", ","")&amp;IF(AND(AY255=1,Skills!$C$20=1),Skills!$B$6&amp;", ","")&amp;IF(AND(AZ255=1,Skills!$D$20=1),Skills!$B$7&amp;", ","")&amp;IF(AND(BA255=1,Skills!$E$20=1),Skills!$B$8&amp;", ","")&amp;IF(AND(BB255=1,Skills!$F$20=1),Skills!$B$9&amp;", ","")&amp;IF(AND(BC255=1,Skills!$G$20=1),Skills!$B$10&amp;", ","")&amp;IF(AND(BD255=1,Skills!$H$20=1),Skills!$B$11&amp;", ","")&amp;IF(AND(BE255=1,Skills!$I$20=1),Skills!$B$12&amp;", ","")&amp;IF(AND(BF255=1,Skills!$J$20=1),Skills!$B$13&amp;", ","")&amp;IF(AND(BG255=1,Skills!$K$20=1),Skills!$B$14&amp;", ","")&amp;IF(AND(BH255=1,Skills!$L$20=1),Skills!$B$15&amp;", ","")&amp;IF(AND(BI255=1,Skills!$M$20=1),Skills!$B$16&amp;", ",""))-2)))</f>
        <v/>
      </c>
    </row>
    <row r="256">
      <c r="AD256" s="20" t="n"/>
      <c r="AE256" s="20" t="n"/>
      <c r="AF256" s="20" t="n"/>
      <c r="AG256" s="20" t="n"/>
      <c r="AH256" s="20" t="n"/>
      <c r="AI256" s="20" t="n"/>
      <c r="AJ256" s="20" t="n"/>
      <c r="AK256" s="20" t="n"/>
      <c r="AL256" s="20" t="n"/>
      <c r="AM256" s="20" t="n"/>
      <c r="AN256" s="20" t="n"/>
      <c r="AO256" s="20" t="n"/>
      <c r="AP256" s="20" t="n"/>
      <c r="AR256" s="31">
        <f>IF(IFERROR(TRIM(INDEX($A256:$AB256,MATCH(Lists!$B$5,$A$1:$AB$1,0))&amp;""),"")&lt;&gt;"",IFERROR(TRIM(INDEX($A256:$AB256,MATCH(Lists!$B$5,$A$1:$AB$1,0))&amp;""),""),IFERROR(TRIM(INDEX($A256:$AB256,MATCH(Lists!$B$3,$A$1:$AB$1,0))&amp;""),""))</f>
        <v/>
      </c>
      <c r="AS256" s="31">
        <f>IF(AR256="","",IF(IFERROR(TRIM(INDEX($A256:$AB256,MATCH(Lists!$B$5,$A$1:$AB$1,0))&amp;""),"")&lt;&gt;"","Nominated","Applied"))</f>
        <v/>
      </c>
      <c r="AT256" s="31">
        <f>IF(AR256="","",IF(IFERROR(TRIM(INDEX($A256:$AB256,MATCH(Lists!$B$5,$A$1:$AB$1,0))&amp;""),"")&lt;&gt;"",IFERROR(TRIM(INDEX($A256:$AB256,MATCH(Lists!$B$6,$A$1:$AB$1,0))&amp;""),""),IFERROR(TRIM(INDEX($A256:$AB256,MATCH(Lists!$B$4,$A$1:$AB$1,0))&amp;""),"")))</f>
        <v/>
      </c>
      <c r="AU256" s="31">
        <f>IF(AR256="","",IFERROR(TRIM(INDEX($A256:$AB256,MATCH(Lists!$B$7,$A$1:$AB$1,0))&amp;""),""))</f>
        <v/>
      </c>
      <c r="AV256" s="31">
        <f>IF(AR256="","",IFERROR(TRIM(INDEX($A256:$AB256,MATCH(Lists!$B$9,$A$1:$AB$1,0))&amp;""),""))</f>
        <v/>
      </c>
      <c r="AW256" s="31">
        <f>IF(AR256="","",IFERROR(TRIM(INDEX($A256:$AB256,MATCH(Lists!$B$8,$A$1:$AB$1,0))&amp;""),""))</f>
        <v/>
      </c>
      <c r="AX256" s="23">
        <f>IF(AR256="","",IF(OR(TRIM(AE256&amp;"")&lt;&gt;"",AND(Skills!$B$5&lt;&gt;"",ISNUMBER(SEARCH(Skills!$B$5,AU256)))),1,0))</f>
        <v/>
      </c>
      <c r="AY256" s="23">
        <f>IF(AR256="","",IF(OR(TRIM(AF256&amp;"")&lt;&gt;"",AND(Skills!$B$6&lt;&gt;"",ISNUMBER(SEARCH(Skills!$B$6,AU256)))),1,0))</f>
        <v/>
      </c>
      <c r="AZ256" s="23">
        <f>IF(AR256="","",IF(OR(TRIM(AG256&amp;"")&lt;&gt;"",AND(Skills!$B$7&lt;&gt;"",ISNUMBER(SEARCH(Skills!$B$7,AU256)))),1,0))</f>
        <v/>
      </c>
      <c r="BA256" s="23">
        <f>IF(AR256="","",IF(OR(TRIM(AH256&amp;"")&lt;&gt;"",AND(Skills!$B$8&lt;&gt;"",ISNUMBER(SEARCH(Skills!$B$8,AU256)))),1,0))</f>
        <v/>
      </c>
      <c r="BB256" s="23">
        <f>IF(AR256="","",IF(OR(TRIM(AI256&amp;"")&lt;&gt;"",AND(Skills!$B$9&lt;&gt;"",ISNUMBER(SEARCH(Skills!$B$9,AU256)))),1,0))</f>
        <v/>
      </c>
      <c r="BC256" s="23">
        <f>IF(AR256="","",IF(OR(TRIM(AJ256&amp;"")&lt;&gt;"",AND(Skills!$B$10&lt;&gt;"",ISNUMBER(SEARCH(Skills!$B$10,AU256)))),1,0))</f>
        <v/>
      </c>
      <c r="BD256" s="23">
        <f>IF(AR256="","",IF(OR(TRIM(AK256&amp;"")&lt;&gt;"",AND(Skills!$B$11&lt;&gt;"",ISNUMBER(SEARCH(Skills!$B$11,AU256)))),1,0))</f>
        <v/>
      </c>
      <c r="BE256" s="23">
        <f>IF(AR256="","",IF(OR(TRIM(AL256&amp;"")&lt;&gt;"",AND(Skills!$B$12&lt;&gt;"",ISNUMBER(SEARCH(Skills!$B$12,AU256)))),1,0))</f>
        <v/>
      </c>
      <c r="BF256" s="23">
        <f>IF(AR256="","",IF(OR(TRIM(AM256&amp;"")&lt;&gt;"",AND(Skills!$B$13&lt;&gt;"",ISNUMBER(SEARCH(Skills!$B$13,AU256)))),1,0))</f>
        <v/>
      </c>
      <c r="BG256" s="23">
        <f>IF(AR256="","",IF(OR(TRIM(AN256&amp;"")&lt;&gt;"",AND(Skills!$B$14&lt;&gt;"",ISNUMBER(SEARCH(Skills!$B$14,AU256)))),1,0))</f>
        <v/>
      </c>
      <c r="BH256" s="23">
        <f>IF(AR256="","",IF(OR(TRIM(AO256&amp;"")&lt;&gt;"",AND(Skills!$B$15&lt;&gt;"",ISNUMBER(SEARCH(Skills!$B$15,AU256)))),1,0))</f>
        <v/>
      </c>
      <c r="BI256" s="23">
        <f>IF(AR256="","",IF(OR(TRIM(AP256&amp;"")&lt;&gt;"",AND(Skills!$B$16&lt;&gt;"",ISNUMBER(SEARCH(Skills!$B$16,AU256)))),1,0))</f>
        <v/>
      </c>
      <c r="BJ256" s="23">
        <f>IF(AR256="","",SUMPRODUCT($AX256:$BI256,Skills!$B$20:$M$20))</f>
        <v/>
      </c>
      <c r="BK256" s="23">
        <f>IF(AR256="","",BJ256*100000+(100000-ROW()))</f>
        <v/>
      </c>
      <c r="BL256" s="31">
        <f>IF(AR256="","",IF((IF(AND(AX256=1,Skills!$B$20=1),Skills!$B$5&amp;", ","")&amp;IF(AND(AY256=1,Skills!$C$20=1),Skills!$B$6&amp;", ","")&amp;IF(AND(AZ256=1,Skills!$D$20=1),Skills!$B$7&amp;", ","")&amp;IF(AND(BA256=1,Skills!$E$20=1),Skills!$B$8&amp;", ","")&amp;IF(AND(BB256=1,Skills!$F$20=1),Skills!$B$9&amp;", ","")&amp;IF(AND(BC256=1,Skills!$G$20=1),Skills!$B$10&amp;", ","")&amp;IF(AND(BD256=1,Skills!$H$20=1),Skills!$B$11&amp;", ","")&amp;IF(AND(BE256=1,Skills!$I$20=1),Skills!$B$12&amp;", ","")&amp;IF(AND(BF256=1,Skills!$J$20=1),Skills!$B$13&amp;", ","")&amp;IF(AND(BG256=1,Skills!$K$20=1),Skills!$B$14&amp;", ","")&amp;IF(AND(BH256=1,Skills!$L$20=1),Skills!$B$15&amp;", ","")&amp;IF(AND(BI256=1,Skills!$M$20=1),Skills!$B$16&amp;", ",""))="","",LEFT(IF(AND(AX256=1,Skills!$B$20=1),Skills!$B$5&amp;", ","")&amp;IF(AND(AY256=1,Skills!$C$20=1),Skills!$B$6&amp;", ","")&amp;IF(AND(AZ256=1,Skills!$D$20=1),Skills!$B$7&amp;", ","")&amp;IF(AND(BA256=1,Skills!$E$20=1),Skills!$B$8&amp;", ","")&amp;IF(AND(BB256=1,Skills!$F$20=1),Skills!$B$9&amp;", ","")&amp;IF(AND(BC256=1,Skills!$G$20=1),Skills!$B$10&amp;", ","")&amp;IF(AND(BD256=1,Skills!$H$20=1),Skills!$B$11&amp;", ","")&amp;IF(AND(BE256=1,Skills!$I$20=1),Skills!$B$12&amp;", ","")&amp;IF(AND(BF256=1,Skills!$J$20=1),Skills!$B$13&amp;", ","")&amp;IF(AND(BG256=1,Skills!$K$20=1),Skills!$B$14&amp;", ","")&amp;IF(AND(BH256=1,Skills!$L$20=1),Skills!$B$15&amp;", ","")&amp;IF(AND(BI256=1,Skills!$M$20=1),Skills!$B$16&amp;", ",""),LEN(IF(AND(AX256=1,Skills!$B$20=1),Skills!$B$5&amp;", ","")&amp;IF(AND(AY256=1,Skills!$C$20=1),Skills!$B$6&amp;", ","")&amp;IF(AND(AZ256=1,Skills!$D$20=1),Skills!$B$7&amp;", ","")&amp;IF(AND(BA256=1,Skills!$E$20=1),Skills!$B$8&amp;", ","")&amp;IF(AND(BB256=1,Skills!$F$20=1),Skills!$B$9&amp;", ","")&amp;IF(AND(BC256=1,Skills!$G$20=1),Skills!$B$10&amp;", ","")&amp;IF(AND(BD256=1,Skills!$H$20=1),Skills!$B$11&amp;", ","")&amp;IF(AND(BE256=1,Skills!$I$20=1),Skills!$B$12&amp;", ","")&amp;IF(AND(BF256=1,Skills!$J$20=1),Skills!$B$13&amp;", ","")&amp;IF(AND(BG256=1,Skills!$K$20=1),Skills!$B$14&amp;", ","")&amp;IF(AND(BH256=1,Skills!$L$20=1),Skills!$B$15&amp;", ","")&amp;IF(AND(BI256=1,Skills!$M$20=1),Skills!$B$16&amp;", ",""))-2)))</f>
        <v/>
      </c>
    </row>
    <row r="257">
      <c r="AD257" s="20" t="n"/>
      <c r="AE257" s="20" t="n"/>
      <c r="AF257" s="20" t="n"/>
      <c r="AG257" s="20" t="n"/>
      <c r="AH257" s="20" t="n"/>
      <c r="AI257" s="20" t="n"/>
      <c r="AJ257" s="20" t="n"/>
      <c r="AK257" s="20" t="n"/>
      <c r="AL257" s="20" t="n"/>
      <c r="AM257" s="20" t="n"/>
      <c r="AN257" s="20" t="n"/>
      <c r="AO257" s="20" t="n"/>
      <c r="AP257" s="20" t="n"/>
      <c r="AR257" s="31">
        <f>IF(IFERROR(TRIM(INDEX($A257:$AB257,MATCH(Lists!$B$5,$A$1:$AB$1,0))&amp;""),"")&lt;&gt;"",IFERROR(TRIM(INDEX($A257:$AB257,MATCH(Lists!$B$5,$A$1:$AB$1,0))&amp;""),""),IFERROR(TRIM(INDEX($A257:$AB257,MATCH(Lists!$B$3,$A$1:$AB$1,0))&amp;""),""))</f>
        <v/>
      </c>
      <c r="AS257" s="31">
        <f>IF(AR257="","",IF(IFERROR(TRIM(INDEX($A257:$AB257,MATCH(Lists!$B$5,$A$1:$AB$1,0))&amp;""),"")&lt;&gt;"","Nominated","Applied"))</f>
        <v/>
      </c>
      <c r="AT257" s="31">
        <f>IF(AR257="","",IF(IFERROR(TRIM(INDEX($A257:$AB257,MATCH(Lists!$B$5,$A$1:$AB$1,0))&amp;""),"")&lt;&gt;"",IFERROR(TRIM(INDEX($A257:$AB257,MATCH(Lists!$B$6,$A$1:$AB$1,0))&amp;""),""),IFERROR(TRIM(INDEX($A257:$AB257,MATCH(Lists!$B$4,$A$1:$AB$1,0))&amp;""),"")))</f>
        <v/>
      </c>
      <c r="AU257" s="31">
        <f>IF(AR257="","",IFERROR(TRIM(INDEX($A257:$AB257,MATCH(Lists!$B$7,$A$1:$AB$1,0))&amp;""),""))</f>
        <v/>
      </c>
      <c r="AV257" s="31">
        <f>IF(AR257="","",IFERROR(TRIM(INDEX($A257:$AB257,MATCH(Lists!$B$9,$A$1:$AB$1,0))&amp;""),""))</f>
        <v/>
      </c>
      <c r="AW257" s="31">
        <f>IF(AR257="","",IFERROR(TRIM(INDEX($A257:$AB257,MATCH(Lists!$B$8,$A$1:$AB$1,0))&amp;""),""))</f>
        <v/>
      </c>
      <c r="AX257" s="23">
        <f>IF(AR257="","",IF(OR(TRIM(AE257&amp;"")&lt;&gt;"",AND(Skills!$B$5&lt;&gt;"",ISNUMBER(SEARCH(Skills!$B$5,AU257)))),1,0))</f>
        <v/>
      </c>
      <c r="AY257" s="23">
        <f>IF(AR257="","",IF(OR(TRIM(AF257&amp;"")&lt;&gt;"",AND(Skills!$B$6&lt;&gt;"",ISNUMBER(SEARCH(Skills!$B$6,AU257)))),1,0))</f>
        <v/>
      </c>
      <c r="AZ257" s="23">
        <f>IF(AR257="","",IF(OR(TRIM(AG257&amp;"")&lt;&gt;"",AND(Skills!$B$7&lt;&gt;"",ISNUMBER(SEARCH(Skills!$B$7,AU257)))),1,0))</f>
        <v/>
      </c>
      <c r="BA257" s="23">
        <f>IF(AR257="","",IF(OR(TRIM(AH257&amp;"")&lt;&gt;"",AND(Skills!$B$8&lt;&gt;"",ISNUMBER(SEARCH(Skills!$B$8,AU257)))),1,0))</f>
        <v/>
      </c>
      <c r="BB257" s="23">
        <f>IF(AR257="","",IF(OR(TRIM(AI257&amp;"")&lt;&gt;"",AND(Skills!$B$9&lt;&gt;"",ISNUMBER(SEARCH(Skills!$B$9,AU257)))),1,0))</f>
        <v/>
      </c>
      <c r="BC257" s="23">
        <f>IF(AR257="","",IF(OR(TRIM(AJ257&amp;"")&lt;&gt;"",AND(Skills!$B$10&lt;&gt;"",ISNUMBER(SEARCH(Skills!$B$10,AU257)))),1,0))</f>
        <v/>
      </c>
      <c r="BD257" s="23">
        <f>IF(AR257="","",IF(OR(TRIM(AK257&amp;"")&lt;&gt;"",AND(Skills!$B$11&lt;&gt;"",ISNUMBER(SEARCH(Skills!$B$11,AU257)))),1,0))</f>
        <v/>
      </c>
      <c r="BE257" s="23">
        <f>IF(AR257="","",IF(OR(TRIM(AL257&amp;"")&lt;&gt;"",AND(Skills!$B$12&lt;&gt;"",ISNUMBER(SEARCH(Skills!$B$12,AU257)))),1,0))</f>
        <v/>
      </c>
      <c r="BF257" s="23">
        <f>IF(AR257="","",IF(OR(TRIM(AM257&amp;"")&lt;&gt;"",AND(Skills!$B$13&lt;&gt;"",ISNUMBER(SEARCH(Skills!$B$13,AU257)))),1,0))</f>
        <v/>
      </c>
      <c r="BG257" s="23">
        <f>IF(AR257="","",IF(OR(TRIM(AN257&amp;"")&lt;&gt;"",AND(Skills!$B$14&lt;&gt;"",ISNUMBER(SEARCH(Skills!$B$14,AU257)))),1,0))</f>
        <v/>
      </c>
      <c r="BH257" s="23">
        <f>IF(AR257="","",IF(OR(TRIM(AO257&amp;"")&lt;&gt;"",AND(Skills!$B$15&lt;&gt;"",ISNUMBER(SEARCH(Skills!$B$15,AU257)))),1,0))</f>
        <v/>
      </c>
      <c r="BI257" s="23">
        <f>IF(AR257="","",IF(OR(TRIM(AP257&amp;"")&lt;&gt;"",AND(Skills!$B$16&lt;&gt;"",ISNUMBER(SEARCH(Skills!$B$16,AU257)))),1,0))</f>
        <v/>
      </c>
      <c r="BJ257" s="23">
        <f>IF(AR257="","",SUMPRODUCT($AX257:$BI257,Skills!$B$20:$M$20))</f>
        <v/>
      </c>
      <c r="BK257" s="23">
        <f>IF(AR257="","",BJ257*100000+(100000-ROW()))</f>
        <v/>
      </c>
      <c r="BL257" s="31">
        <f>IF(AR257="","",IF((IF(AND(AX257=1,Skills!$B$20=1),Skills!$B$5&amp;", ","")&amp;IF(AND(AY257=1,Skills!$C$20=1),Skills!$B$6&amp;", ","")&amp;IF(AND(AZ257=1,Skills!$D$20=1),Skills!$B$7&amp;", ","")&amp;IF(AND(BA257=1,Skills!$E$20=1),Skills!$B$8&amp;", ","")&amp;IF(AND(BB257=1,Skills!$F$20=1),Skills!$B$9&amp;", ","")&amp;IF(AND(BC257=1,Skills!$G$20=1),Skills!$B$10&amp;", ","")&amp;IF(AND(BD257=1,Skills!$H$20=1),Skills!$B$11&amp;", ","")&amp;IF(AND(BE257=1,Skills!$I$20=1),Skills!$B$12&amp;", ","")&amp;IF(AND(BF257=1,Skills!$J$20=1),Skills!$B$13&amp;", ","")&amp;IF(AND(BG257=1,Skills!$K$20=1),Skills!$B$14&amp;", ","")&amp;IF(AND(BH257=1,Skills!$L$20=1),Skills!$B$15&amp;", ","")&amp;IF(AND(BI257=1,Skills!$M$20=1),Skills!$B$16&amp;", ",""))="","",LEFT(IF(AND(AX257=1,Skills!$B$20=1),Skills!$B$5&amp;", ","")&amp;IF(AND(AY257=1,Skills!$C$20=1),Skills!$B$6&amp;", ","")&amp;IF(AND(AZ257=1,Skills!$D$20=1),Skills!$B$7&amp;", ","")&amp;IF(AND(BA257=1,Skills!$E$20=1),Skills!$B$8&amp;", ","")&amp;IF(AND(BB257=1,Skills!$F$20=1),Skills!$B$9&amp;", ","")&amp;IF(AND(BC257=1,Skills!$G$20=1),Skills!$B$10&amp;", ","")&amp;IF(AND(BD257=1,Skills!$H$20=1),Skills!$B$11&amp;", ","")&amp;IF(AND(BE257=1,Skills!$I$20=1),Skills!$B$12&amp;", ","")&amp;IF(AND(BF257=1,Skills!$J$20=1),Skills!$B$13&amp;", ","")&amp;IF(AND(BG257=1,Skills!$K$20=1),Skills!$B$14&amp;", ","")&amp;IF(AND(BH257=1,Skills!$L$20=1),Skills!$B$15&amp;", ","")&amp;IF(AND(BI257=1,Skills!$M$20=1),Skills!$B$16&amp;", ",""),LEN(IF(AND(AX257=1,Skills!$B$20=1),Skills!$B$5&amp;", ","")&amp;IF(AND(AY257=1,Skills!$C$20=1),Skills!$B$6&amp;", ","")&amp;IF(AND(AZ257=1,Skills!$D$20=1),Skills!$B$7&amp;", ","")&amp;IF(AND(BA257=1,Skills!$E$20=1),Skills!$B$8&amp;", ","")&amp;IF(AND(BB257=1,Skills!$F$20=1),Skills!$B$9&amp;", ","")&amp;IF(AND(BC257=1,Skills!$G$20=1),Skills!$B$10&amp;", ","")&amp;IF(AND(BD257=1,Skills!$H$20=1),Skills!$B$11&amp;", ","")&amp;IF(AND(BE257=1,Skills!$I$20=1),Skills!$B$12&amp;", ","")&amp;IF(AND(BF257=1,Skills!$J$20=1),Skills!$B$13&amp;", ","")&amp;IF(AND(BG257=1,Skills!$K$20=1),Skills!$B$14&amp;", ","")&amp;IF(AND(BH257=1,Skills!$L$20=1),Skills!$B$15&amp;", ","")&amp;IF(AND(BI257=1,Skills!$M$20=1),Skills!$B$16&amp;", ",""))-2)))</f>
        <v/>
      </c>
    </row>
    <row r="258">
      <c r="AD258" s="20" t="n"/>
      <c r="AE258" s="20" t="n"/>
      <c r="AF258" s="20" t="n"/>
      <c r="AG258" s="20" t="n"/>
      <c r="AH258" s="20" t="n"/>
      <c r="AI258" s="20" t="n"/>
      <c r="AJ258" s="20" t="n"/>
      <c r="AK258" s="20" t="n"/>
      <c r="AL258" s="20" t="n"/>
      <c r="AM258" s="20" t="n"/>
      <c r="AN258" s="20" t="n"/>
      <c r="AO258" s="20" t="n"/>
      <c r="AP258" s="20" t="n"/>
      <c r="AR258" s="31">
        <f>IF(IFERROR(TRIM(INDEX($A258:$AB258,MATCH(Lists!$B$5,$A$1:$AB$1,0))&amp;""),"")&lt;&gt;"",IFERROR(TRIM(INDEX($A258:$AB258,MATCH(Lists!$B$5,$A$1:$AB$1,0))&amp;""),""),IFERROR(TRIM(INDEX($A258:$AB258,MATCH(Lists!$B$3,$A$1:$AB$1,0))&amp;""),""))</f>
        <v/>
      </c>
      <c r="AS258" s="31">
        <f>IF(AR258="","",IF(IFERROR(TRIM(INDEX($A258:$AB258,MATCH(Lists!$B$5,$A$1:$AB$1,0))&amp;""),"")&lt;&gt;"","Nominated","Applied"))</f>
        <v/>
      </c>
      <c r="AT258" s="31">
        <f>IF(AR258="","",IF(IFERROR(TRIM(INDEX($A258:$AB258,MATCH(Lists!$B$5,$A$1:$AB$1,0))&amp;""),"")&lt;&gt;"",IFERROR(TRIM(INDEX($A258:$AB258,MATCH(Lists!$B$6,$A$1:$AB$1,0))&amp;""),""),IFERROR(TRIM(INDEX($A258:$AB258,MATCH(Lists!$B$4,$A$1:$AB$1,0))&amp;""),"")))</f>
        <v/>
      </c>
      <c r="AU258" s="31">
        <f>IF(AR258="","",IFERROR(TRIM(INDEX($A258:$AB258,MATCH(Lists!$B$7,$A$1:$AB$1,0))&amp;""),""))</f>
        <v/>
      </c>
      <c r="AV258" s="31">
        <f>IF(AR258="","",IFERROR(TRIM(INDEX($A258:$AB258,MATCH(Lists!$B$9,$A$1:$AB$1,0))&amp;""),""))</f>
        <v/>
      </c>
      <c r="AW258" s="31">
        <f>IF(AR258="","",IFERROR(TRIM(INDEX($A258:$AB258,MATCH(Lists!$B$8,$A$1:$AB$1,0))&amp;""),""))</f>
        <v/>
      </c>
      <c r="AX258" s="23">
        <f>IF(AR258="","",IF(OR(TRIM(AE258&amp;"")&lt;&gt;"",AND(Skills!$B$5&lt;&gt;"",ISNUMBER(SEARCH(Skills!$B$5,AU258)))),1,0))</f>
        <v/>
      </c>
      <c r="AY258" s="23">
        <f>IF(AR258="","",IF(OR(TRIM(AF258&amp;"")&lt;&gt;"",AND(Skills!$B$6&lt;&gt;"",ISNUMBER(SEARCH(Skills!$B$6,AU258)))),1,0))</f>
        <v/>
      </c>
      <c r="AZ258" s="23">
        <f>IF(AR258="","",IF(OR(TRIM(AG258&amp;"")&lt;&gt;"",AND(Skills!$B$7&lt;&gt;"",ISNUMBER(SEARCH(Skills!$B$7,AU258)))),1,0))</f>
        <v/>
      </c>
      <c r="BA258" s="23">
        <f>IF(AR258="","",IF(OR(TRIM(AH258&amp;"")&lt;&gt;"",AND(Skills!$B$8&lt;&gt;"",ISNUMBER(SEARCH(Skills!$B$8,AU258)))),1,0))</f>
        <v/>
      </c>
      <c r="BB258" s="23">
        <f>IF(AR258="","",IF(OR(TRIM(AI258&amp;"")&lt;&gt;"",AND(Skills!$B$9&lt;&gt;"",ISNUMBER(SEARCH(Skills!$B$9,AU258)))),1,0))</f>
        <v/>
      </c>
      <c r="BC258" s="23">
        <f>IF(AR258="","",IF(OR(TRIM(AJ258&amp;"")&lt;&gt;"",AND(Skills!$B$10&lt;&gt;"",ISNUMBER(SEARCH(Skills!$B$10,AU258)))),1,0))</f>
        <v/>
      </c>
      <c r="BD258" s="23">
        <f>IF(AR258="","",IF(OR(TRIM(AK258&amp;"")&lt;&gt;"",AND(Skills!$B$11&lt;&gt;"",ISNUMBER(SEARCH(Skills!$B$11,AU258)))),1,0))</f>
        <v/>
      </c>
      <c r="BE258" s="23">
        <f>IF(AR258="","",IF(OR(TRIM(AL258&amp;"")&lt;&gt;"",AND(Skills!$B$12&lt;&gt;"",ISNUMBER(SEARCH(Skills!$B$12,AU258)))),1,0))</f>
        <v/>
      </c>
      <c r="BF258" s="23">
        <f>IF(AR258="","",IF(OR(TRIM(AM258&amp;"")&lt;&gt;"",AND(Skills!$B$13&lt;&gt;"",ISNUMBER(SEARCH(Skills!$B$13,AU258)))),1,0))</f>
        <v/>
      </c>
      <c r="BG258" s="23">
        <f>IF(AR258="","",IF(OR(TRIM(AN258&amp;"")&lt;&gt;"",AND(Skills!$B$14&lt;&gt;"",ISNUMBER(SEARCH(Skills!$B$14,AU258)))),1,0))</f>
        <v/>
      </c>
      <c r="BH258" s="23">
        <f>IF(AR258="","",IF(OR(TRIM(AO258&amp;"")&lt;&gt;"",AND(Skills!$B$15&lt;&gt;"",ISNUMBER(SEARCH(Skills!$B$15,AU258)))),1,0))</f>
        <v/>
      </c>
      <c r="BI258" s="23">
        <f>IF(AR258="","",IF(OR(TRIM(AP258&amp;"")&lt;&gt;"",AND(Skills!$B$16&lt;&gt;"",ISNUMBER(SEARCH(Skills!$B$16,AU258)))),1,0))</f>
        <v/>
      </c>
      <c r="BJ258" s="23">
        <f>IF(AR258="","",SUMPRODUCT($AX258:$BI258,Skills!$B$20:$M$20))</f>
        <v/>
      </c>
      <c r="BK258" s="23">
        <f>IF(AR258="","",BJ258*100000+(100000-ROW()))</f>
        <v/>
      </c>
      <c r="BL258" s="31">
        <f>IF(AR258="","",IF((IF(AND(AX258=1,Skills!$B$20=1),Skills!$B$5&amp;", ","")&amp;IF(AND(AY258=1,Skills!$C$20=1),Skills!$B$6&amp;", ","")&amp;IF(AND(AZ258=1,Skills!$D$20=1),Skills!$B$7&amp;", ","")&amp;IF(AND(BA258=1,Skills!$E$20=1),Skills!$B$8&amp;", ","")&amp;IF(AND(BB258=1,Skills!$F$20=1),Skills!$B$9&amp;", ","")&amp;IF(AND(BC258=1,Skills!$G$20=1),Skills!$B$10&amp;", ","")&amp;IF(AND(BD258=1,Skills!$H$20=1),Skills!$B$11&amp;", ","")&amp;IF(AND(BE258=1,Skills!$I$20=1),Skills!$B$12&amp;", ","")&amp;IF(AND(BF258=1,Skills!$J$20=1),Skills!$B$13&amp;", ","")&amp;IF(AND(BG258=1,Skills!$K$20=1),Skills!$B$14&amp;", ","")&amp;IF(AND(BH258=1,Skills!$L$20=1),Skills!$B$15&amp;", ","")&amp;IF(AND(BI258=1,Skills!$M$20=1),Skills!$B$16&amp;", ",""))="","",LEFT(IF(AND(AX258=1,Skills!$B$20=1),Skills!$B$5&amp;", ","")&amp;IF(AND(AY258=1,Skills!$C$20=1),Skills!$B$6&amp;", ","")&amp;IF(AND(AZ258=1,Skills!$D$20=1),Skills!$B$7&amp;", ","")&amp;IF(AND(BA258=1,Skills!$E$20=1),Skills!$B$8&amp;", ","")&amp;IF(AND(BB258=1,Skills!$F$20=1),Skills!$B$9&amp;", ","")&amp;IF(AND(BC258=1,Skills!$G$20=1),Skills!$B$10&amp;", ","")&amp;IF(AND(BD258=1,Skills!$H$20=1),Skills!$B$11&amp;", ","")&amp;IF(AND(BE258=1,Skills!$I$20=1),Skills!$B$12&amp;", ","")&amp;IF(AND(BF258=1,Skills!$J$20=1),Skills!$B$13&amp;", ","")&amp;IF(AND(BG258=1,Skills!$K$20=1),Skills!$B$14&amp;", ","")&amp;IF(AND(BH258=1,Skills!$L$20=1),Skills!$B$15&amp;", ","")&amp;IF(AND(BI258=1,Skills!$M$20=1),Skills!$B$16&amp;", ",""),LEN(IF(AND(AX258=1,Skills!$B$20=1),Skills!$B$5&amp;", ","")&amp;IF(AND(AY258=1,Skills!$C$20=1),Skills!$B$6&amp;", ","")&amp;IF(AND(AZ258=1,Skills!$D$20=1),Skills!$B$7&amp;", ","")&amp;IF(AND(BA258=1,Skills!$E$20=1),Skills!$B$8&amp;", ","")&amp;IF(AND(BB258=1,Skills!$F$20=1),Skills!$B$9&amp;", ","")&amp;IF(AND(BC258=1,Skills!$G$20=1),Skills!$B$10&amp;", ","")&amp;IF(AND(BD258=1,Skills!$H$20=1),Skills!$B$11&amp;", ","")&amp;IF(AND(BE258=1,Skills!$I$20=1),Skills!$B$12&amp;", ","")&amp;IF(AND(BF258=1,Skills!$J$20=1),Skills!$B$13&amp;", ","")&amp;IF(AND(BG258=1,Skills!$K$20=1),Skills!$B$14&amp;", ","")&amp;IF(AND(BH258=1,Skills!$L$20=1),Skills!$B$15&amp;", ","")&amp;IF(AND(BI258=1,Skills!$M$20=1),Skills!$B$16&amp;", ",""))-2)))</f>
        <v/>
      </c>
    </row>
    <row r="259">
      <c r="AD259" s="20" t="n"/>
      <c r="AE259" s="20" t="n"/>
      <c r="AF259" s="20" t="n"/>
      <c r="AG259" s="20" t="n"/>
      <c r="AH259" s="20" t="n"/>
      <c r="AI259" s="20" t="n"/>
      <c r="AJ259" s="20" t="n"/>
      <c r="AK259" s="20" t="n"/>
      <c r="AL259" s="20" t="n"/>
      <c r="AM259" s="20" t="n"/>
      <c r="AN259" s="20" t="n"/>
      <c r="AO259" s="20" t="n"/>
      <c r="AP259" s="20" t="n"/>
      <c r="AR259" s="31">
        <f>IF(IFERROR(TRIM(INDEX($A259:$AB259,MATCH(Lists!$B$5,$A$1:$AB$1,0))&amp;""),"")&lt;&gt;"",IFERROR(TRIM(INDEX($A259:$AB259,MATCH(Lists!$B$5,$A$1:$AB$1,0))&amp;""),""),IFERROR(TRIM(INDEX($A259:$AB259,MATCH(Lists!$B$3,$A$1:$AB$1,0))&amp;""),""))</f>
        <v/>
      </c>
      <c r="AS259" s="31">
        <f>IF(AR259="","",IF(IFERROR(TRIM(INDEX($A259:$AB259,MATCH(Lists!$B$5,$A$1:$AB$1,0))&amp;""),"")&lt;&gt;"","Nominated","Applied"))</f>
        <v/>
      </c>
      <c r="AT259" s="31">
        <f>IF(AR259="","",IF(IFERROR(TRIM(INDEX($A259:$AB259,MATCH(Lists!$B$5,$A$1:$AB$1,0))&amp;""),"")&lt;&gt;"",IFERROR(TRIM(INDEX($A259:$AB259,MATCH(Lists!$B$6,$A$1:$AB$1,0))&amp;""),""),IFERROR(TRIM(INDEX($A259:$AB259,MATCH(Lists!$B$4,$A$1:$AB$1,0))&amp;""),"")))</f>
        <v/>
      </c>
      <c r="AU259" s="31">
        <f>IF(AR259="","",IFERROR(TRIM(INDEX($A259:$AB259,MATCH(Lists!$B$7,$A$1:$AB$1,0))&amp;""),""))</f>
        <v/>
      </c>
      <c r="AV259" s="31">
        <f>IF(AR259="","",IFERROR(TRIM(INDEX($A259:$AB259,MATCH(Lists!$B$9,$A$1:$AB$1,0))&amp;""),""))</f>
        <v/>
      </c>
      <c r="AW259" s="31">
        <f>IF(AR259="","",IFERROR(TRIM(INDEX($A259:$AB259,MATCH(Lists!$B$8,$A$1:$AB$1,0))&amp;""),""))</f>
        <v/>
      </c>
      <c r="AX259" s="23">
        <f>IF(AR259="","",IF(OR(TRIM(AE259&amp;"")&lt;&gt;"",AND(Skills!$B$5&lt;&gt;"",ISNUMBER(SEARCH(Skills!$B$5,AU259)))),1,0))</f>
        <v/>
      </c>
      <c r="AY259" s="23">
        <f>IF(AR259="","",IF(OR(TRIM(AF259&amp;"")&lt;&gt;"",AND(Skills!$B$6&lt;&gt;"",ISNUMBER(SEARCH(Skills!$B$6,AU259)))),1,0))</f>
        <v/>
      </c>
      <c r="AZ259" s="23">
        <f>IF(AR259="","",IF(OR(TRIM(AG259&amp;"")&lt;&gt;"",AND(Skills!$B$7&lt;&gt;"",ISNUMBER(SEARCH(Skills!$B$7,AU259)))),1,0))</f>
        <v/>
      </c>
      <c r="BA259" s="23">
        <f>IF(AR259="","",IF(OR(TRIM(AH259&amp;"")&lt;&gt;"",AND(Skills!$B$8&lt;&gt;"",ISNUMBER(SEARCH(Skills!$B$8,AU259)))),1,0))</f>
        <v/>
      </c>
      <c r="BB259" s="23">
        <f>IF(AR259="","",IF(OR(TRIM(AI259&amp;"")&lt;&gt;"",AND(Skills!$B$9&lt;&gt;"",ISNUMBER(SEARCH(Skills!$B$9,AU259)))),1,0))</f>
        <v/>
      </c>
      <c r="BC259" s="23">
        <f>IF(AR259="","",IF(OR(TRIM(AJ259&amp;"")&lt;&gt;"",AND(Skills!$B$10&lt;&gt;"",ISNUMBER(SEARCH(Skills!$B$10,AU259)))),1,0))</f>
        <v/>
      </c>
      <c r="BD259" s="23">
        <f>IF(AR259="","",IF(OR(TRIM(AK259&amp;"")&lt;&gt;"",AND(Skills!$B$11&lt;&gt;"",ISNUMBER(SEARCH(Skills!$B$11,AU259)))),1,0))</f>
        <v/>
      </c>
      <c r="BE259" s="23">
        <f>IF(AR259="","",IF(OR(TRIM(AL259&amp;"")&lt;&gt;"",AND(Skills!$B$12&lt;&gt;"",ISNUMBER(SEARCH(Skills!$B$12,AU259)))),1,0))</f>
        <v/>
      </c>
      <c r="BF259" s="23">
        <f>IF(AR259="","",IF(OR(TRIM(AM259&amp;"")&lt;&gt;"",AND(Skills!$B$13&lt;&gt;"",ISNUMBER(SEARCH(Skills!$B$13,AU259)))),1,0))</f>
        <v/>
      </c>
      <c r="BG259" s="23">
        <f>IF(AR259="","",IF(OR(TRIM(AN259&amp;"")&lt;&gt;"",AND(Skills!$B$14&lt;&gt;"",ISNUMBER(SEARCH(Skills!$B$14,AU259)))),1,0))</f>
        <v/>
      </c>
      <c r="BH259" s="23">
        <f>IF(AR259="","",IF(OR(TRIM(AO259&amp;"")&lt;&gt;"",AND(Skills!$B$15&lt;&gt;"",ISNUMBER(SEARCH(Skills!$B$15,AU259)))),1,0))</f>
        <v/>
      </c>
      <c r="BI259" s="23">
        <f>IF(AR259="","",IF(OR(TRIM(AP259&amp;"")&lt;&gt;"",AND(Skills!$B$16&lt;&gt;"",ISNUMBER(SEARCH(Skills!$B$16,AU259)))),1,0))</f>
        <v/>
      </c>
      <c r="BJ259" s="23">
        <f>IF(AR259="","",SUMPRODUCT($AX259:$BI259,Skills!$B$20:$M$20))</f>
        <v/>
      </c>
      <c r="BK259" s="23">
        <f>IF(AR259="","",BJ259*100000+(100000-ROW()))</f>
        <v/>
      </c>
      <c r="BL259" s="31">
        <f>IF(AR259="","",IF((IF(AND(AX259=1,Skills!$B$20=1),Skills!$B$5&amp;", ","")&amp;IF(AND(AY259=1,Skills!$C$20=1),Skills!$B$6&amp;", ","")&amp;IF(AND(AZ259=1,Skills!$D$20=1),Skills!$B$7&amp;", ","")&amp;IF(AND(BA259=1,Skills!$E$20=1),Skills!$B$8&amp;", ","")&amp;IF(AND(BB259=1,Skills!$F$20=1),Skills!$B$9&amp;", ","")&amp;IF(AND(BC259=1,Skills!$G$20=1),Skills!$B$10&amp;", ","")&amp;IF(AND(BD259=1,Skills!$H$20=1),Skills!$B$11&amp;", ","")&amp;IF(AND(BE259=1,Skills!$I$20=1),Skills!$B$12&amp;", ","")&amp;IF(AND(BF259=1,Skills!$J$20=1),Skills!$B$13&amp;", ","")&amp;IF(AND(BG259=1,Skills!$K$20=1),Skills!$B$14&amp;", ","")&amp;IF(AND(BH259=1,Skills!$L$20=1),Skills!$B$15&amp;", ","")&amp;IF(AND(BI259=1,Skills!$M$20=1),Skills!$B$16&amp;", ",""))="","",LEFT(IF(AND(AX259=1,Skills!$B$20=1),Skills!$B$5&amp;", ","")&amp;IF(AND(AY259=1,Skills!$C$20=1),Skills!$B$6&amp;", ","")&amp;IF(AND(AZ259=1,Skills!$D$20=1),Skills!$B$7&amp;", ","")&amp;IF(AND(BA259=1,Skills!$E$20=1),Skills!$B$8&amp;", ","")&amp;IF(AND(BB259=1,Skills!$F$20=1),Skills!$B$9&amp;", ","")&amp;IF(AND(BC259=1,Skills!$G$20=1),Skills!$B$10&amp;", ","")&amp;IF(AND(BD259=1,Skills!$H$20=1),Skills!$B$11&amp;", ","")&amp;IF(AND(BE259=1,Skills!$I$20=1),Skills!$B$12&amp;", ","")&amp;IF(AND(BF259=1,Skills!$J$20=1),Skills!$B$13&amp;", ","")&amp;IF(AND(BG259=1,Skills!$K$20=1),Skills!$B$14&amp;", ","")&amp;IF(AND(BH259=1,Skills!$L$20=1),Skills!$B$15&amp;", ","")&amp;IF(AND(BI259=1,Skills!$M$20=1),Skills!$B$16&amp;", ",""),LEN(IF(AND(AX259=1,Skills!$B$20=1),Skills!$B$5&amp;", ","")&amp;IF(AND(AY259=1,Skills!$C$20=1),Skills!$B$6&amp;", ","")&amp;IF(AND(AZ259=1,Skills!$D$20=1),Skills!$B$7&amp;", ","")&amp;IF(AND(BA259=1,Skills!$E$20=1),Skills!$B$8&amp;", ","")&amp;IF(AND(BB259=1,Skills!$F$20=1),Skills!$B$9&amp;", ","")&amp;IF(AND(BC259=1,Skills!$G$20=1),Skills!$B$10&amp;", ","")&amp;IF(AND(BD259=1,Skills!$H$20=1),Skills!$B$11&amp;", ","")&amp;IF(AND(BE259=1,Skills!$I$20=1),Skills!$B$12&amp;", ","")&amp;IF(AND(BF259=1,Skills!$J$20=1),Skills!$B$13&amp;", ","")&amp;IF(AND(BG259=1,Skills!$K$20=1),Skills!$B$14&amp;", ","")&amp;IF(AND(BH259=1,Skills!$L$20=1),Skills!$B$15&amp;", ","")&amp;IF(AND(BI259=1,Skills!$M$20=1),Skills!$B$16&amp;", ",""))-2)))</f>
        <v/>
      </c>
    </row>
    <row r="260">
      <c r="AD260" s="20" t="n"/>
      <c r="AE260" s="20" t="n"/>
      <c r="AF260" s="20" t="n"/>
      <c r="AG260" s="20" t="n"/>
      <c r="AH260" s="20" t="n"/>
      <c r="AI260" s="20" t="n"/>
      <c r="AJ260" s="20" t="n"/>
      <c r="AK260" s="20" t="n"/>
      <c r="AL260" s="20" t="n"/>
      <c r="AM260" s="20" t="n"/>
      <c r="AN260" s="20" t="n"/>
      <c r="AO260" s="20" t="n"/>
      <c r="AP260" s="20" t="n"/>
      <c r="AR260" s="31">
        <f>IF(IFERROR(TRIM(INDEX($A260:$AB260,MATCH(Lists!$B$5,$A$1:$AB$1,0))&amp;""),"")&lt;&gt;"",IFERROR(TRIM(INDEX($A260:$AB260,MATCH(Lists!$B$5,$A$1:$AB$1,0))&amp;""),""),IFERROR(TRIM(INDEX($A260:$AB260,MATCH(Lists!$B$3,$A$1:$AB$1,0))&amp;""),""))</f>
        <v/>
      </c>
      <c r="AS260" s="31">
        <f>IF(AR260="","",IF(IFERROR(TRIM(INDEX($A260:$AB260,MATCH(Lists!$B$5,$A$1:$AB$1,0))&amp;""),"")&lt;&gt;"","Nominated","Applied"))</f>
        <v/>
      </c>
      <c r="AT260" s="31">
        <f>IF(AR260="","",IF(IFERROR(TRIM(INDEX($A260:$AB260,MATCH(Lists!$B$5,$A$1:$AB$1,0))&amp;""),"")&lt;&gt;"",IFERROR(TRIM(INDEX($A260:$AB260,MATCH(Lists!$B$6,$A$1:$AB$1,0))&amp;""),""),IFERROR(TRIM(INDEX($A260:$AB260,MATCH(Lists!$B$4,$A$1:$AB$1,0))&amp;""),"")))</f>
        <v/>
      </c>
      <c r="AU260" s="31">
        <f>IF(AR260="","",IFERROR(TRIM(INDEX($A260:$AB260,MATCH(Lists!$B$7,$A$1:$AB$1,0))&amp;""),""))</f>
        <v/>
      </c>
      <c r="AV260" s="31">
        <f>IF(AR260="","",IFERROR(TRIM(INDEX($A260:$AB260,MATCH(Lists!$B$9,$A$1:$AB$1,0))&amp;""),""))</f>
        <v/>
      </c>
      <c r="AW260" s="31">
        <f>IF(AR260="","",IFERROR(TRIM(INDEX($A260:$AB260,MATCH(Lists!$B$8,$A$1:$AB$1,0))&amp;""),""))</f>
        <v/>
      </c>
      <c r="AX260" s="23">
        <f>IF(AR260="","",IF(OR(TRIM(AE260&amp;"")&lt;&gt;"",AND(Skills!$B$5&lt;&gt;"",ISNUMBER(SEARCH(Skills!$B$5,AU260)))),1,0))</f>
        <v/>
      </c>
      <c r="AY260" s="23">
        <f>IF(AR260="","",IF(OR(TRIM(AF260&amp;"")&lt;&gt;"",AND(Skills!$B$6&lt;&gt;"",ISNUMBER(SEARCH(Skills!$B$6,AU260)))),1,0))</f>
        <v/>
      </c>
      <c r="AZ260" s="23">
        <f>IF(AR260="","",IF(OR(TRIM(AG260&amp;"")&lt;&gt;"",AND(Skills!$B$7&lt;&gt;"",ISNUMBER(SEARCH(Skills!$B$7,AU260)))),1,0))</f>
        <v/>
      </c>
      <c r="BA260" s="23">
        <f>IF(AR260="","",IF(OR(TRIM(AH260&amp;"")&lt;&gt;"",AND(Skills!$B$8&lt;&gt;"",ISNUMBER(SEARCH(Skills!$B$8,AU260)))),1,0))</f>
        <v/>
      </c>
      <c r="BB260" s="23">
        <f>IF(AR260="","",IF(OR(TRIM(AI260&amp;"")&lt;&gt;"",AND(Skills!$B$9&lt;&gt;"",ISNUMBER(SEARCH(Skills!$B$9,AU260)))),1,0))</f>
        <v/>
      </c>
      <c r="BC260" s="23">
        <f>IF(AR260="","",IF(OR(TRIM(AJ260&amp;"")&lt;&gt;"",AND(Skills!$B$10&lt;&gt;"",ISNUMBER(SEARCH(Skills!$B$10,AU260)))),1,0))</f>
        <v/>
      </c>
      <c r="BD260" s="23">
        <f>IF(AR260="","",IF(OR(TRIM(AK260&amp;"")&lt;&gt;"",AND(Skills!$B$11&lt;&gt;"",ISNUMBER(SEARCH(Skills!$B$11,AU260)))),1,0))</f>
        <v/>
      </c>
      <c r="BE260" s="23">
        <f>IF(AR260="","",IF(OR(TRIM(AL260&amp;"")&lt;&gt;"",AND(Skills!$B$12&lt;&gt;"",ISNUMBER(SEARCH(Skills!$B$12,AU260)))),1,0))</f>
        <v/>
      </c>
      <c r="BF260" s="23">
        <f>IF(AR260="","",IF(OR(TRIM(AM260&amp;"")&lt;&gt;"",AND(Skills!$B$13&lt;&gt;"",ISNUMBER(SEARCH(Skills!$B$13,AU260)))),1,0))</f>
        <v/>
      </c>
      <c r="BG260" s="23">
        <f>IF(AR260="","",IF(OR(TRIM(AN260&amp;"")&lt;&gt;"",AND(Skills!$B$14&lt;&gt;"",ISNUMBER(SEARCH(Skills!$B$14,AU260)))),1,0))</f>
        <v/>
      </c>
      <c r="BH260" s="23">
        <f>IF(AR260="","",IF(OR(TRIM(AO260&amp;"")&lt;&gt;"",AND(Skills!$B$15&lt;&gt;"",ISNUMBER(SEARCH(Skills!$B$15,AU260)))),1,0))</f>
        <v/>
      </c>
      <c r="BI260" s="23">
        <f>IF(AR260="","",IF(OR(TRIM(AP260&amp;"")&lt;&gt;"",AND(Skills!$B$16&lt;&gt;"",ISNUMBER(SEARCH(Skills!$B$16,AU260)))),1,0))</f>
        <v/>
      </c>
      <c r="BJ260" s="23">
        <f>IF(AR260="","",SUMPRODUCT($AX260:$BI260,Skills!$B$20:$M$20))</f>
        <v/>
      </c>
      <c r="BK260" s="23">
        <f>IF(AR260="","",BJ260*100000+(100000-ROW()))</f>
        <v/>
      </c>
      <c r="BL260" s="31">
        <f>IF(AR260="","",IF((IF(AND(AX260=1,Skills!$B$20=1),Skills!$B$5&amp;", ","")&amp;IF(AND(AY260=1,Skills!$C$20=1),Skills!$B$6&amp;", ","")&amp;IF(AND(AZ260=1,Skills!$D$20=1),Skills!$B$7&amp;", ","")&amp;IF(AND(BA260=1,Skills!$E$20=1),Skills!$B$8&amp;", ","")&amp;IF(AND(BB260=1,Skills!$F$20=1),Skills!$B$9&amp;", ","")&amp;IF(AND(BC260=1,Skills!$G$20=1),Skills!$B$10&amp;", ","")&amp;IF(AND(BD260=1,Skills!$H$20=1),Skills!$B$11&amp;", ","")&amp;IF(AND(BE260=1,Skills!$I$20=1),Skills!$B$12&amp;", ","")&amp;IF(AND(BF260=1,Skills!$J$20=1),Skills!$B$13&amp;", ","")&amp;IF(AND(BG260=1,Skills!$K$20=1),Skills!$B$14&amp;", ","")&amp;IF(AND(BH260=1,Skills!$L$20=1),Skills!$B$15&amp;", ","")&amp;IF(AND(BI260=1,Skills!$M$20=1),Skills!$B$16&amp;", ",""))="","",LEFT(IF(AND(AX260=1,Skills!$B$20=1),Skills!$B$5&amp;", ","")&amp;IF(AND(AY260=1,Skills!$C$20=1),Skills!$B$6&amp;", ","")&amp;IF(AND(AZ260=1,Skills!$D$20=1),Skills!$B$7&amp;", ","")&amp;IF(AND(BA260=1,Skills!$E$20=1),Skills!$B$8&amp;", ","")&amp;IF(AND(BB260=1,Skills!$F$20=1),Skills!$B$9&amp;", ","")&amp;IF(AND(BC260=1,Skills!$G$20=1),Skills!$B$10&amp;", ","")&amp;IF(AND(BD260=1,Skills!$H$20=1),Skills!$B$11&amp;", ","")&amp;IF(AND(BE260=1,Skills!$I$20=1),Skills!$B$12&amp;", ","")&amp;IF(AND(BF260=1,Skills!$J$20=1),Skills!$B$13&amp;", ","")&amp;IF(AND(BG260=1,Skills!$K$20=1),Skills!$B$14&amp;", ","")&amp;IF(AND(BH260=1,Skills!$L$20=1),Skills!$B$15&amp;", ","")&amp;IF(AND(BI260=1,Skills!$M$20=1),Skills!$B$16&amp;", ",""),LEN(IF(AND(AX260=1,Skills!$B$20=1),Skills!$B$5&amp;", ","")&amp;IF(AND(AY260=1,Skills!$C$20=1),Skills!$B$6&amp;", ","")&amp;IF(AND(AZ260=1,Skills!$D$20=1),Skills!$B$7&amp;", ","")&amp;IF(AND(BA260=1,Skills!$E$20=1),Skills!$B$8&amp;", ","")&amp;IF(AND(BB260=1,Skills!$F$20=1),Skills!$B$9&amp;", ","")&amp;IF(AND(BC260=1,Skills!$G$20=1),Skills!$B$10&amp;", ","")&amp;IF(AND(BD260=1,Skills!$H$20=1),Skills!$B$11&amp;", ","")&amp;IF(AND(BE260=1,Skills!$I$20=1),Skills!$B$12&amp;", ","")&amp;IF(AND(BF260=1,Skills!$J$20=1),Skills!$B$13&amp;", ","")&amp;IF(AND(BG260=1,Skills!$K$20=1),Skills!$B$14&amp;", ","")&amp;IF(AND(BH260=1,Skills!$L$20=1),Skills!$B$15&amp;", ","")&amp;IF(AND(BI260=1,Skills!$M$20=1),Skills!$B$16&amp;", ",""))-2)))</f>
        <v/>
      </c>
    </row>
    <row r="261">
      <c r="AD261" s="20" t="n"/>
      <c r="AE261" s="20" t="n"/>
      <c r="AF261" s="20" t="n"/>
      <c r="AG261" s="20" t="n"/>
      <c r="AH261" s="20" t="n"/>
      <c r="AI261" s="20" t="n"/>
      <c r="AJ261" s="20" t="n"/>
      <c r="AK261" s="20" t="n"/>
      <c r="AL261" s="20" t="n"/>
      <c r="AM261" s="20" t="n"/>
      <c r="AN261" s="20" t="n"/>
      <c r="AO261" s="20" t="n"/>
      <c r="AP261" s="20" t="n"/>
      <c r="AR261" s="31">
        <f>IF(IFERROR(TRIM(INDEX($A261:$AB261,MATCH(Lists!$B$5,$A$1:$AB$1,0))&amp;""),"")&lt;&gt;"",IFERROR(TRIM(INDEX($A261:$AB261,MATCH(Lists!$B$5,$A$1:$AB$1,0))&amp;""),""),IFERROR(TRIM(INDEX($A261:$AB261,MATCH(Lists!$B$3,$A$1:$AB$1,0))&amp;""),""))</f>
        <v/>
      </c>
      <c r="AS261" s="31">
        <f>IF(AR261="","",IF(IFERROR(TRIM(INDEX($A261:$AB261,MATCH(Lists!$B$5,$A$1:$AB$1,0))&amp;""),"")&lt;&gt;"","Nominated","Applied"))</f>
        <v/>
      </c>
      <c r="AT261" s="31">
        <f>IF(AR261="","",IF(IFERROR(TRIM(INDEX($A261:$AB261,MATCH(Lists!$B$5,$A$1:$AB$1,0))&amp;""),"")&lt;&gt;"",IFERROR(TRIM(INDEX($A261:$AB261,MATCH(Lists!$B$6,$A$1:$AB$1,0))&amp;""),""),IFERROR(TRIM(INDEX($A261:$AB261,MATCH(Lists!$B$4,$A$1:$AB$1,0))&amp;""),"")))</f>
        <v/>
      </c>
      <c r="AU261" s="31">
        <f>IF(AR261="","",IFERROR(TRIM(INDEX($A261:$AB261,MATCH(Lists!$B$7,$A$1:$AB$1,0))&amp;""),""))</f>
        <v/>
      </c>
      <c r="AV261" s="31">
        <f>IF(AR261="","",IFERROR(TRIM(INDEX($A261:$AB261,MATCH(Lists!$B$9,$A$1:$AB$1,0))&amp;""),""))</f>
        <v/>
      </c>
      <c r="AW261" s="31">
        <f>IF(AR261="","",IFERROR(TRIM(INDEX($A261:$AB261,MATCH(Lists!$B$8,$A$1:$AB$1,0))&amp;""),""))</f>
        <v/>
      </c>
      <c r="AX261" s="23">
        <f>IF(AR261="","",IF(OR(TRIM(AE261&amp;"")&lt;&gt;"",AND(Skills!$B$5&lt;&gt;"",ISNUMBER(SEARCH(Skills!$B$5,AU261)))),1,0))</f>
        <v/>
      </c>
      <c r="AY261" s="23">
        <f>IF(AR261="","",IF(OR(TRIM(AF261&amp;"")&lt;&gt;"",AND(Skills!$B$6&lt;&gt;"",ISNUMBER(SEARCH(Skills!$B$6,AU261)))),1,0))</f>
        <v/>
      </c>
      <c r="AZ261" s="23">
        <f>IF(AR261="","",IF(OR(TRIM(AG261&amp;"")&lt;&gt;"",AND(Skills!$B$7&lt;&gt;"",ISNUMBER(SEARCH(Skills!$B$7,AU261)))),1,0))</f>
        <v/>
      </c>
      <c r="BA261" s="23">
        <f>IF(AR261="","",IF(OR(TRIM(AH261&amp;"")&lt;&gt;"",AND(Skills!$B$8&lt;&gt;"",ISNUMBER(SEARCH(Skills!$B$8,AU261)))),1,0))</f>
        <v/>
      </c>
      <c r="BB261" s="23">
        <f>IF(AR261="","",IF(OR(TRIM(AI261&amp;"")&lt;&gt;"",AND(Skills!$B$9&lt;&gt;"",ISNUMBER(SEARCH(Skills!$B$9,AU261)))),1,0))</f>
        <v/>
      </c>
      <c r="BC261" s="23">
        <f>IF(AR261="","",IF(OR(TRIM(AJ261&amp;"")&lt;&gt;"",AND(Skills!$B$10&lt;&gt;"",ISNUMBER(SEARCH(Skills!$B$10,AU261)))),1,0))</f>
        <v/>
      </c>
      <c r="BD261" s="23">
        <f>IF(AR261="","",IF(OR(TRIM(AK261&amp;"")&lt;&gt;"",AND(Skills!$B$11&lt;&gt;"",ISNUMBER(SEARCH(Skills!$B$11,AU261)))),1,0))</f>
        <v/>
      </c>
      <c r="BE261" s="23">
        <f>IF(AR261="","",IF(OR(TRIM(AL261&amp;"")&lt;&gt;"",AND(Skills!$B$12&lt;&gt;"",ISNUMBER(SEARCH(Skills!$B$12,AU261)))),1,0))</f>
        <v/>
      </c>
      <c r="BF261" s="23">
        <f>IF(AR261="","",IF(OR(TRIM(AM261&amp;"")&lt;&gt;"",AND(Skills!$B$13&lt;&gt;"",ISNUMBER(SEARCH(Skills!$B$13,AU261)))),1,0))</f>
        <v/>
      </c>
      <c r="BG261" s="23">
        <f>IF(AR261="","",IF(OR(TRIM(AN261&amp;"")&lt;&gt;"",AND(Skills!$B$14&lt;&gt;"",ISNUMBER(SEARCH(Skills!$B$14,AU261)))),1,0))</f>
        <v/>
      </c>
      <c r="BH261" s="23">
        <f>IF(AR261="","",IF(OR(TRIM(AO261&amp;"")&lt;&gt;"",AND(Skills!$B$15&lt;&gt;"",ISNUMBER(SEARCH(Skills!$B$15,AU261)))),1,0))</f>
        <v/>
      </c>
      <c r="BI261" s="23">
        <f>IF(AR261="","",IF(OR(TRIM(AP261&amp;"")&lt;&gt;"",AND(Skills!$B$16&lt;&gt;"",ISNUMBER(SEARCH(Skills!$B$16,AU261)))),1,0))</f>
        <v/>
      </c>
      <c r="BJ261" s="23">
        <f>IF(AR261="","",SUMPRODUCT($AX261:$BI261,Skills!$B$20:$M$20))</f>
        <v/>
      </c>
      <c r="BK261" s="23">
        <f>IF(AR261="","",BJ261*100000+(100000-ROW()))</f>
        <v/>
      </c>
      <c r="BL261" s="31">
        <f>IF(AR261="","",IF((IF(AND(AX261=1,Skills!$B$20=1),Skills!$B$5&amp;", ","")&amp;IF(AND(AY261=1,Skills!$C$20=1),Skills!$B$6&amp;", ","")&amp;IF(AND(AZ261=1,Skills!$D$20=1),Skills!$B$7&amp;", ","")&amp;IF(AND(BA261=1,Skills!$E$20=1),Skills!$B$8&amp;", ","")&amp;IF(AND(BB261=1,Skills!$F$20=1),Skills!$B$9&amp;", ","")&amp;IF(AND(BC261=1,Skills!$G$20=1),Skills!$B$10&amp;", ","")&amp;IF(AND(BD261=1,Skills!$H$20=1),Skills!$B$11&amp;", ","")&amp;IF(AND(BE261=1,Skills!$I$20=1),Skills!$B$12&amp;", ","")&amp;IF(AND(BF261=1,Skills!$J$20=1),Skills!$B$13&amp;", ","")&amp;IF(AND(BG261=1,Skills!$K$20=1),Skills!$B$14&amp;", ","")&amp;IF(AND(BH261=1,Skills!$L$20=1),Skills!$B$15&amp;", ","")&amp;IF(AND(BI261=1,Skills!$M$20=1),Skills!$B$16&amp;", ",""))="","",LEFT(IF(AND(AX261=1,Skills!$B$20=1),Skills!$B$5&amp;", ","")&amp;IF(AND(AY261=1,Skills!$C$20=1),Skills!$B$6&amp;", ","")&amp;IF(AND(AZ261=1,Skills!$D$20=1),Skills!$B$7&amp;", ","")&amp;IF(AND(BA261=1,Skills!$E$20=1),Skills!$B$8&amp;", ","")&amp;IF(AND(BB261=1,Skills!$F$20=1),Skills!$B$9&amp;", ","")&amp;IF(AND(BC261=1,Skills!$G$20=1),Skills!$B$10&amp;", ","")&amp;IF(AND(BD261=1,Skills!$H$20=1),Skills!$B$11&amp;", ","")&amp;IF(AND(BE261=1,Skills!$I$20=1),Skills!$B$12&amp;", ","")&amp;IF(AND(BF261=1,Skills!$J$20=1),Skills!$B$13&amp;", ","")&amp;IF(AND(BG261=1,Skills!$K$20=1),Skills!$B$14&amp;", ","")&amp;IF(AND(BH261=1,Skills!$L$20=1),Skills!$B$15&amp;", ","")&amp;IF(AND(BI261=1,Skills!$M$20=1),Skills!$B$16&amp;", ",""),LEN(IF(AND(AX261=1,Skills!$B$20=1),Skills!$B$5&amp;", ","")&amp;IF(AND(AY261=1,Skills!$C$20=1),Skills!$B$6&amp;", ","")&amp;IF(AND(AZ261=1,Skills!$D$20=1),Skills!$B$7&amp;", ","")&amp;IF(AND(BA261=1,Skills!$E$20=1),Skills!$B$8&amp;", ","")&amp;IF(AND(BB261=1,Skills!$F$20=1),Skills!$B$9&amp;", ","")&amp;IF(AND(BC261=1,Skills!$G$20=1),Skills!$B$10&amp;", ","")&amp;IF(AND(BD261=1,Skills!$H$20=1),Skills!$B$11&amp;", ","")&amp;IF(AND(BE261=1,Skills!$I$20=1),Skills!$B$12&amp;", ","")&amp;IF(AND(BF261=1,Skills!$J$20=1),Skills!$B$13&amp;", ","")&amp;IF(AND(BG261=1,Skills!$K$20=1),Skills!$B$14&amp;", ","")&amp;IF(AND(BH261=1,Skills!$L$20=1),Skills!$B$15&amp;", ","")&amp;IF(AND(BI261=1,Skills!$M$20=1),Skills!$B$16&amp;", ",""))-2)))</f>
        <v/>
      </c>
    </row>
    <row r="262">
      <c r="AD262" s="20" t="n"/>
      <c r="AE262" s="20" t="n"/>
      <c r="AF262" s="20" t="n"/>
      <c r="AG262" s="20" t="n"/>
      <c r="AH262" s="20" t="n"/>
      <c r="AI262" s="20" t="n"/>
      <c r="AJ262" s="20" t="n"/>
      <c r="AK262" s="20" t="n"/>
      <c r="AL262" s="20" t="n"/>
      <c r="AM262" s="20" t="n"/>
      <c r="AN262" s="20" t="n"/>
      <c r="AO262" s="20" t="n"/>
      <c r="AP262" s="20" t="n"/>
      <c r="AR262" s="31">
        <f>IF(IFERROR(TRIM(INDEX($A262:$AB262,MATCH(Lists!$B$5,$A$1:$AB$1,0))&amp;""),"")&lt;&gt;"",IFERROR(TRIM(INDEX($A262:$AB262,MATCH(Lists!$B$5,$A$1:$AB$1,0))&amp;""),""),IFERROR(TRIM(INDEX($A262:$AB262,MATCH(Lists!$B$3,$A$1:$AB$1,0))&amp;""),""))</f>
        <v/>
      </c>
      <c r="AS262" s="31">
        <f>IF(AR262="","",IF(IFERROR(TRIM(INDEX($A262:$AB262,MATCH(Lists!$B$5,$A$1:$AB$1,0))&amp;""),"")&lt;&gt;"","Nominated","Applied"))</f>
        <v/>
      </c>
      <c r="AT262" s="31">
        <f>IF(AR262="","",IF(IFERROR(TRIM(INDEX($A262:$AB262,MATCH(Lists!$B$5,$A$1:$AB$1,0))&amp;""),"")&lt;&gt;"",IFERROR(TRIM(INDEX($A262:$AB262,MATCH(Lists!$B$6,$A$1:$AB$1,0))&amp;""),""),IFERROR(TRIM(INDEX($A262:$AB262,MATCH(Lists!$B$4,$A$1:$AB$1,0))&amp;""),"")))</f>
        <v/>
      </c>
      <c r="AU262" s="31">
        <f>IF(AR262="","",IFERROR(TRIM(INDEX($A262:$AB262,MATCH(Lists!$B$7,$A$1:$AB$1,0))&amp;""),""))</f>
        <v/>
      </c>
      <c r="AV262" s="31">
        <f>IF(AR262="","",IFERROR(TRIM(INDEX($A262:$AB262,MATCH(Lists!$B$9,$A$1:$AB$1,0))&amp;""),""))</f>
        <v/>
      </c>
      <c r="AW262" s="31">
        <f>IF(AR262="","",IFERROR(TRIM(INDEX($A262:$AB262,MATCH(Lists!$B$8,$A$1:$AB$1,0))&amp;""),""))</f>
        <v/>
      </c>
      <c r="AX262" s="23">
        <f>IF(AR262="","",IF(OR(TRIM(AE262&amp;"")&lt;&gt;"",AND(Skills!$B$5&lt;&gt;"",ISNUMBER(SEARCH(Skills!$B$5,AU262)))),1,0))</f>
        <v/>
      </c>
      <c r="AY262" s="23">
        <f>IF(AR262="","",IF(OR(TRIM(AF262&amp;"")&lt;&gt;"",AND(Skills!$B$6&lt;&gt;"",ISNUMBER(SEARCH(Skills!$B$6,AU262)))),1,0))</f>
        <v/>
      </c>
      <c r="AZ262" s="23">
        <f>IF(AR262="","",IF(OR(TRIM(AG262&amp;"")&lt;&gt;"",AND(Skills!$B$7&lt;&gt;"",ISNUMBER(SEARCH(Skills!$B$7,AU262)))),1,0))</f>
        <v/>
      </c>
      <c r="BA262" s="23">
        <f>IF(AR262="","",IF(OR(TRIM(AH262&amp;"")&lt;&gt;"",AND(Skills!$B$8&lt;&gt;"",ISNUMBER(SEARCH(Skills!$B$8,AU262)))),1,0))</f>
        <v/>
      </c>
      <c r="BB262" s="23">
        <f>IF(AR262="","",IF(OR(TRIM(AI262&amp;"")&lt;&gt;"",AND(Skills!$B$9&lt;&gt;"",ISNUMBER(SEARCH(Skills!$B$9,AU262)))),1,0))</f>
        <v/>
      </c>
      <c r="BC262" s="23">
        <f>IF(AR262="","",IF(OR(TRIM(AJ262&amp;"")&lt;&gt;"",AND(Skills!$B$10&lt;&gt;"",ISNUMBER(SEARCH(Skills!$B$10,AU262)))),1,0))</f>
        <v/>
      </c>
      <c r="BD262" s="23">
        <f>IF(AR262="","",IF(OR(TRIM(AK262&amp;"")&lt;&gt;"",AND(Skills!$B$11&lt;&gt;"",ISNUMBER(SEARCH(Skills!$B$11,AU262)))),1,0))</f>
        <v/>
      </c>
      <c r="BE262" s="23">
        <f>IF(AR262="","",IF(OR(TRIM(AL262&amp;"")&lt;&gt;"",AND(Skills!$B$12&lt;&gt;"",ISNUMBER(SEARCH(Skills!$B$12,AU262)))),1,0))</f>
        <v/>
      </c>
      <c r="BF262" s="23">
        <f>IF(AR262="","",IF(OR(TRIM(AM262&amp;"")&lt;&gt;"",AND(Skills!$B$13&lt;&gt;"",ISNUMBER(SEARCH(Skills!$B$13,AU262)))),1,0))</f>
        <v/>
      </c>
      <c r="BG262" s="23">
        <f>IF(AR262="","",IF(OR(TRIM(AN262&amp;"")&lt;&gt;"",AND(Skills!$B$14&lt;&gt;"",ISNUMBER(SEARCH(Skills!$B$14,AU262)))),1,0))</f>
        <v/>
      </c>
      <c r="BH262" s="23">
        <f>IF(AR262="","",IF(OR(TRIM(AO262&amp;"")&lt;&gt;"",AND(Skills!$B$15&lt;&gt;"",ISNUMBER(SEARCH(Skills!$B$15,AU262)))),1,0))</f>
        <v/>
      </c>
      <c r="BI262" s="23">
        <f>IF(AR262="","",IF(OR(TRIM(AP262&amp;"")&lt;&gt;"",AND(Skills!$B$16&lt;&gt;"",ISNUMBER(SEARCH(Skills!$B$16,AU262)))),1,0))</f>
        <v/>
      </c>
      <c r="BJ262" s="23">
        <f>IF(AR262="","",SUMPRODUCT($AX262:$BI262,Skills!$B$20:$M$20))</f>
        <v/>
      </c>
      <c r="BK262" s="23">
        <f>IF(AR262="","",BJ262*100000+(100000-ROW()))</f>
        <v/>
      </c>
      <c r="BL262" s="31">
        <f>IF(AR262="","",IF((IF(AND(AX262=1,Skills!$B$20=1),Skills!$B$5&amp;", ","")&amp;IF(AND(AY262=1,Skills!$C$20=1),Skills!$B$6&amp;", ","")&amp;IF(AND(AZ262=1,Skills!$D$20=1),Skills!$B$7&amp;", ","")&amp;IF(AND(BA262=1,Skills!$E$20=1),Skills!$B$8&amp;", ","")&amp;IF(AND(BB262=1,Skills!$F$20=1),Skills!$B$9&amp;", ","")&amp;IF(AND(BC262=1,Skills!$G$20=1),Skills!$B$10&amp;", ","")&amp;IF(AND(BD262=1,Skills!$H$20=1),Skills!$B$11&amp;", ","")&amp;IF(AND(BE262=1,Skills!$I$20=1),Skills!$B$12&amp;", ","")&amp;IF(AND(BF262=1,Skills!$J$20=1),Skills!$B$13&amp;", ","")&amp;IF(AND(BG262=1,Skills!$K$20=1),Skills!$B$14&amp;", ","")&amp;IF(AND(BH262=1,Skills!$L$20=1),Skills!$B$15&amp;", ","")&amp;IF(AND(BI262=1,Skills!$M$20=1),Skills!$B$16&amp;", ",""))="","",LEFT(IF(AND(AX262=1,Skills!$B$20=1),Skills!$B$5&amp;", ","")&amp;IF(AND(AY262=1,Skills!$C$20=1),Skills!$B$6&amp;", ","")&amp;IF(AND(AZ262=1,Skills!$D$20=1),Skills!$B$7&amp;", ","")&amp;IF(AND(BA262=1,Skills!$E$20=1),Skills!$B$8&amp;", ","")&amp;IF(AND(BB262=1,Skills!$F$20=1),Skills!$B$9&amp;", ","")&amp;IF(AND(BC262=1,Skills!$G$20=1),Skills!$B$10&amp;", ","")&amp;IF(AND(BD262=1,Skills!$H$20=1),Skills!$B$11&amp;", ","")&amp;IF(AND(BE262=1,Skills!$I$20=1),Skills!$B$12&amp;", ","")&amp;IF(AND(BF262=1,Skills!$J$20=1),Skills!$B$13&amp;", ","")&amp;IF(AND(BG262=1,Skills!$K$20=1),Skills!$B$14&amp;", ","")&amp;IF(AND(BH262=1,Skills!$L$20=1),Skills!$B$15&amp;", ","")&amp;IF(AND(BI262=1,Skills!$M$20=1),Skills!$B$16&amp;", ",""),LEN(IF(AND(AX262=1,Skills!$B$20=1),Skills!$B$5&amp;", ","")&amp;IF(AND(AY262=1,Skills!$C$20=1),Skills!$B$6&amp;", ","")&amp;IF(AND(AZ262=1,Skills!$D$20=1),Skills!$B$7&amp;", ","")&amp;IF(AND(BA262=1,Skills!$E$20=1),Skills!$B$8&amp;", ","")&amp;IF(AND(BB262=1,Skills!$F$20=1),Skills!$B$9&amp;", ","")&amp;IF(AND(BC262=1,Skills!$G$20=1),Skills!$B$10&amp;", ","")&amp;IF(AND(BD262=1,Skills!$H$20=1),Skills!$B$11&amp;", ","")&amp;IF(AND(BE262=1,Skills!$I$20=1),Skills!$B$12&amp;", ","")&amp;IF(AND(BF262=1,Skills!$J$20=1),Skills!$B$13&amp;", ","")&amp;IF(AND(BG262=1,Skills!$K$20=1),Skills!$B$14&amp;", ","")&amp;IF(AND(BH262=1,Skills!$L$20=1),Skills!$B$15&amp;", ","")&amp;IF(AND(BI262=1,Skills!$M$20=1),Skills!$B$16&amp;", ",""))-2)))</f>
        <v/>
      </c>
    </row>
    <row r="263">
      <c r="AD263" s="20" t="n"/>
      <c r="AE263" s="20" t="n"/>
      <c r="AF263" s="20" t="n"/>
      <c r="AG263" s="20" t="n"/>
      <c r="AH263" s="20" t="n"/>
      <c r="AI263" s="20" t="n"/>
      <c r="AJ263" s="20" t="n"/>
      <c r="AK263" s="20" t="n"/>
      <c r="AL263" s="20" t="n"/>
      <c r="AM263" s="20" t="n"/>
      <c r="AN263" s="20" t="n"/>
      <c r="AO263" s="20" t="n"/>
      <c r="AP263" s="20" t="n"/>
      <c r="AR263" s="31">
        <f>IF(IFERROR(TRIM(INDEX($A263:$AB263,MATCH(Lists!$B$5,$A$1:$AB$1,0))&amp;""),"")&lt;&gt;"",IFERROR(TRIM(INDEX($A263:$AB263,MATCH(Lists!$B$5,$A$1:$AB$1,0))&amp;""),""),IFERROR(TRIM(INDEX($A263:$AB263,MATCH(Lists!$B$3,$A$1:$AB$1,0))&amp;""),""))</f>
        <v/>
      </c>
      <c r="AS263" s="31">
        <f>IF(AR263="","",IF(IFERROR(TRIM(INDEX($A263:$AB263,MATCH(Lists!$B$5,$A$1:$AB$1,0))&amp;""),"")&lt;&gt;"","Nominated","Applied"))</f>
        <v/>
      </c>
      <c r="AT263" s="31">
        <f>IF(AR263="","",IF(IFERROR(TRIM(INDEX($A263:$AB263,MATCH(Lists!$B$5,$A$1:$AB$1,0))&amp;""),"")&lt;&gt;"",IFERROR(TRIM(INDEX($A263:$AB263,MATCH(Lists!$B$6,$A$1:$AB$1,0))&amp;""),""),IFERROR(TRIM(INDEX($A263:$AB263,MATCH(Lists!$B$4,$A$1:$AB$1,0))&amp;""),"")))</f>
        <v/>
      </c>
      <c r="AU263" s="31">
        <f>IF(AR263="","",IFERROR(TRIM(INDEX($A263:$AB263,MATCH(Lists!$B$7,$A$1:$AB$1,0))&amp;""),""))</f>
        <v/>
      </c>
      <c r="AV263" s="31">
        <f>IF(AR263="","",IFERROR(TRIM(INDEX($A263:$AB263,MATCH(Lists!$B$9,$A$1:$AB$1,0))&amp;""),""))</f>
        <v/>
      </c>
      <c r="AW263" s="31">
        <f>IF(AR263="","",IFERROR(TRIM(INDEX($A263:$AB263,MATCH(Lists!$B$8,$A$1:$AB$1,0))&amp;""),""))</f>
        <v/>
      </c>
      <c r="AX263" s="23">
        <f>IF(AR263="","",IF(OR(TRIM(AE263&amp;"")&lt;&gt;"",AND(Skills!$B$5&lt;&gt;"",ISNUMBER(SEARCH(Skills!$B$5,AU263)))),1,0))</f>
        <v/>
      </c>
      <c r="AY263" s="23">
        <f>IF(AR263="","",IF(OR(TRIM(AF263&amp;"")&lt;&gt;"",AND(Skills!$B$6&lt;&gt;"",ISNUMBER(SEARCH(Skills!$B$6,AU263)))),1,0))</f>
        <v/>
      </c>
      <c r="AZ263" s="23">
        <f>IF(AR263="","",IF(OR(TRIM(AG263&amp;"")&lt;&gt;"",AND(Skills!$B$7&lt;&gt;"",ISNUMBER(SEARCH(Skills!$B$7,AU263)))),1,0))</f>
        <v/>
      </c>
      <c r="BA263" s="23">
        <f>IF(AR263="","",IF(OR(TRIM(AH263&amp;"")&lt;&gt;"",AND(Skills!$B$8&lt;&gt;"",ISNUMBER(SEARCH(Skills!$B$8,AU263)))),1,0))</f>
        <v/>
      </c>
      <c r="BB263" s="23">
        <f>IF(AR263="","",IF(OR(TRIM(AI263&amp;"")&lt;&gt;"",AND(Skills!$B$9&lt;&gt;"",ISNUMBER(SEARCH(Skills!$B$9,AU263)))),1,0))</f>
        <v/>
      </c>
      <c r="BC263" s="23">
        <f>IF(AR263="","",IF(OR(TRIM(AJ263&amp;"")&lt;&gt;"",AND(Skills!$B$10&lt;&gt;"",ISNUMBER(SEARCH(Skills!$B$10,AU263)))),1,0))</f>
        <v/>
      </c>
      <c r="BD263" s="23">
        <f>IF(AR263="","",IF(OR(TRIM(AK263&amp;"")&lt;&gt;"",AND(Skills!$B$11&lt;&gt;"",ISNUMBER(SEARCH(Skills!$B$11,AU263)))),1,0))</f>
        <v/>
      </c>
      <c r="BE263" s="23">
        <f>IF(AR263="","",IF(OR(TRIM(AL263&amp;"")&lt;&gt;"",AND(Skills!$B$12&lt;&gt;"",ISNUMBER(SEARCH(Skills!$B$12,AU263)))),1,0))</f>
        <v/>
      </c>
      <c r="BF263" s="23">
        <f>IF(AR263="","",IF(OR(TRIM(AM263&amp;"")&lt;&gt;"",AND(Skills!$B$13&lt;&gt;"",ISNUMBER(SEARCH(Skills!$B$13,AU263)))),1,0))</f>
        <v/>
      </c>
      <c r="BG263" s="23">
        <f>IF(AR263="","",IF(OR(TRIM(AN263&amp;"")&lt;&gt;"",AND(Skills!$B$14&lt;&gt;"",ISNUMBER(SEARCH(Skills!$B$14,AU263)))),1,0))</f>
        <v/>
      </c>
      <c r="BH263" s="23">
        <f>IF(AR263="","",IF(OR(TRIM(AO263&amp;"")&lt;&gt;"",AND(Skills!$B$15&lt;&gt;"",ISNUMBER(SEARCH(Skills!$B$15,AU263)))),1,0))</f>
        <v/>
      </c>
      <c r="BI263" s="23">
        <f>IF(AR263="","",IF(OR(TRIM(AP263&amp;"")&lt;&gt;"",AND(Skills!$B$16&lt;&gt;"",ISNUMBER(SEARCH(Skills!$B$16,AU263)))),1,0))</f>
        <v/>
      </c>
      <c r="BJ263" s="23">
        <f>IF(AR263="","",SUMPRODUCT($AX263:$BI263,Skills!$B$20:$M$20))</f>
        <v/>
      </c>
      <c r="BK263" s="23">
        <f>IF(AR263="","",BJ263*100000+(100000-ROW()))</f>
        <v/>
      </c>
      <c r="BL263" s="31">
        <f>IF(AR263="","",IF((IF(AND(AX263=1,Skills!$B$20=1),Skills!$B$5&amp;", ","")&amp;IF(AND(AY263=1,Skills!$C$20=1),Skills!$B$6&amp;", ","")&amp;IF(AND(AZ263=1,Skills!$D$20=1),Skills!$B$7&amp;", ","")&amp;IF(AND(BA263=1,Skills!$E$20=1),Skills!$B$8&amp;", ","")&amp;IF(AND(BB263=1,Skills!$F$20=1),Skills!$B$9&amp;", ","")&amp;IF(AND(BC263=1,Skills!$G$20=1),Skills!$B$10&amp;", ","")&amp;IF(AND(BD263=1,Skills!$H$20=1),Skills!$B$11&amp;", ","")&amp;IF(AND(BE263=1,Skills!$I$20=1),Skills!$B$12&amp;", ","")&amp;IF(AND(BF263=1,Skills!$J$20=1),Skills!$B$13&amp;", ","")&amp;IF(AND(BG263=1,Skills!$K$20=1),Skills!$B$14&amp;", ","")&amp;IF(AND(BH263=1,Skills!$L$20=1),Skills!$B$15&amp;", ","")&amp;IF(AND(BI263=1,Skills!$M$20=1),Skills!$B$16&amp;", ",""))="","",LEFT(IF(AND(AX263=1,Skills!$B$20=1),Skills!$B$5&amp;", ","")&amp;IF(AND(AY263=1,Skills!$C$20=1),Skills!$B$6&amp;", ","")&amp;IF(AND(AZ263=1,Skills!$D$20=1),Skills!$B$7&amp;", ","")&amp;IF(AND(BA263=1,Skills!$E$20=1),Skills!$B$8&amp;", ","")&amp;IF(AND(BB263=1,Skills!$F$20=1),Skills!$B$9&amp;", ","")&amp;IF(AND(BC263=1,Skills!$G$20=1),Skills!$B$10&amp;", ","")&amp;IF(AND(BD263=1,Skills!$H$20=1),Skills!$B$11&amp;", ","")&amp;IF(AND(BE263=1,Skills!$I$20=1),Skills!$B$12&amp;", ","")&amp;IF(AND(BF263=1,Skills!$J$20=1),Skills!$B$13&amp;", ","")&amp;IF(AND(BG263=1,Skills!$K$20=1),Skills!$B$14&amp;", ","")&amp;IF(AND(BH263=1,Skills!$L$20=1),Skills!$B$15&amp;", ","")&amp;IF(AND(BI263=1,Skills!$M$20=1),Skills!$B$16&amp;", ",""),LEN(IF(AND(AX263=1,Skills!$B$20=1),Skills!$B$5&amp;", ","")&amp;IF(AND(AY263=1,Skills!$C$20=1),Skills!$B$6&amp;", ","")&amp;IF(AND(AZ263=1,Skills!$D$20=1),Skills!$B$7&amp;", ","")&amp;IF(AND(BA263=1,Skills!$E$20=1),Skills!$B$8&amp;", ","")&amp;IF(AND(BB263=1,Skills!$F$20=1),Skills!$B$9&amp;", ","")&amp;IF(AND(BC263=1,Skills!$G$20=1),Skills!$B$10&amp;", ","")&amp;IF(AND(BD263=1,Skills!$H$20=1),Skills!$B$11&amp;", ","")&amp;IF(AND(BE263=1,Skills!$I$20=1),Skills!$B$12&amp;", ","")&amp;IF(AND(BF263=1,Skills!$J$20=1),Skills!$B$13&amp;", ","")&amp;IF(AND(BG263=1,Skills!$K$20=1),Skills!$B$14&amp;", ","")&amp;IF(AND(BH263=1,Skills!$L$20=1),Skills!$B$15&amp;", ","")&amp;IF(AND(BI263=1,Skills!$M$20=1),Skills!$B$16&amp;", ",""))-2)))</f>
        <v/>
      </c>
    </row>
    <row r="264">
      <c r="AD264" s="20" t="n"/>
      <c r="AE264" s="20" t="n"/>
      <c r="AF264" s="20" t="n"/>
      <c r="AG264" s="20" t="n"/>
      <c r="AH264" s="20" t="n"/>
      <c r="AI264" s="20" t="n"/>
      <c r="AJ264" s="20" t="n"/>
      <c r="AK264" s="20" t="n"/>
      <c r="AL264" s="20" t="n"/>
      <c r="AM264" s="20" t="n"/>
      <c r="AN264" s="20" t="n"/>
      <c r="AO264" s="20" t="n"/>
      <c r="AP264" s="20" t="n"/>
      <c r="AR264" s="31">
        <f>IF(IFERROR(TRIM(INDEX($A264:$AB264,MATCH(Lists!$B$5,$A$1:$AB$1,0))&amp;""),"")&lt;&gt;"",IFERROR(TRIM(INDEX($A264:$AB264,MATCH(Lists!$B$5,$A$1:$AB$1,0))&amp;""),""),IFERROR(TRIM(INDEX($A264:$AB264,MATCH(Lists!$B$3,$A$1:$AB$1,0))&amp;""),""))</f>
        <v/>
      </c>
      <c r="AS264" s="31">
        <f>IF(AR264="","",IF(IFERROR(TRIM(INDEX($A264:$AB264,MATCH(Lists!$B$5,$A$1:$AB$1,0))&amp;""),"")&lt;&gt;"","Nominated","Applied"))</f>
        <v/>
      </c>
      <c r="AT264" s="31">
        <f>IF(AR264="","",IF(IFERROR(TRIM(INDEX($A264:$AB264,MATCH(Lists!$B$5,$A$1:$AB$1,0))&amp;""),"")&lt;&gt;"",IFERROR(TRIM(INDEX($A264:$AB264,MATCH(Lists!$B$6,$A$1:$AB$1,0))&amp;""),""),IFERROR(TRIM(INDEX($A264:$AB264,MATCH(Lists!$B$4,$A$1:$AB$1,0))&amp;""),"")))</f>
        <v/>
      </c>
      <c r="AU264" s="31">
        <f>IF(AR264="","",IFERROR(TRIM(INDEX($A264:$AB264,MATCH(Lists!$B$7,$A$1:$AB$1,0))&amp;""),""))</f>
        <v/>
      </c>
      <c r="AV264" s="31">
        <f>IF(AR264="","",IFERROR(TRIM(INDEX($A264:$AB264,MATCH(Lists!$B$9,$A$1:$AB$1,0))&amp;""),""))</f>
        <v/>
      </c>
      <c r="AW264" s="31">
        <f>IF(AR264="","",IFERROR(TRIM(INDEX($A264:$AB264,MATCH(Lists!$B$8,$A$1:$AB$1,0))&amp;""),""))</f>
        <v/>
      </c>
      <c r="AX264" s="23">
        <f>IF(AR264="","",IF(OR(TRIM(AE264&amp;"")&lt;&gt;"",AND(Skills!$B$5&lt;&gt;"",ISNUMBER(SEARCH(Skills!$B$5,AU264)))),1,0))</f>
        <v/>
      </c>
      <c r="AY264" s="23">
        <f>IF(AR264="","",IF(OR(TRIM(AF264&amp;"")&lt;&gt;"",AND(Skills!$B$6&lt;&gt;"",ISNUMBER(SEARCH(Skills!$B$6,AU264)))),1,0))</f>
        <v/>
      </c>
      <c r="AZ264" s="23">
        <f>IF(AR264="","",IF(OR(TRIM(AG264&amp;"")&lt;&gt;"",AND(Skills!$B$7&lt;&gt;"",ISNUMBER(SEARCH(Skills!$B$7,AU264)))),1,0))</f>
        <v/>
      </c>
      <c r="BA264" s="23">
        <f>IF(AR264="","",IF(OR(TRIM(AH264&amp;"")&lt;&gt;"",AND(Skills!$B$8&lt;&gt;"",ISNUMBER(SEARCH(Skills!$B$8,AU264)))),1,0))</f>
        <v/>
      </c>
      <c r="BB264" s="23">
        <f>IF(AR264="","",IF(OR(TRIM(AI264&amp;"")&lt;&gt;"",AND(Skills!$B$9&lt;&gt;"",ISNUMBER(SEARCH(Skills!$B$9,AU264)))),1,0))</f>
        <v/>
      </c>
      <c r="BC264" s="23">
        <f>IF(AR264="","",IF(OR(TRIM(AJ264&amp;"")&lt;&gt;"",AND(Skills!$B$10&lt;&gt;"",ISNUMBER(SEARCH(Skills!$B$10,AU264)))),1,0))</f>
        <v/>
      </c>
      <c r="BD264" s="23">
        <f>IF(AR264="","",IF(OR(TRIM(AK264&amp;"")&lt;&gt;"",AND(Skills!$B$11&lt;&gt;"",ISNUMBER(SEARCH(Skills!$B$11,AU264)))),1,0))</f>
        <v/>
      </c>
      <c r="BE264" s="23">
        <f>IF(AR264="","",IF(OR(TRIM(AL264&amp;"")&lt;&gt;"",AND(Skills!$B$12&lt;&gt;"",ISNUMBER(SEARCH(Skills!$B$12,AU264)))),1,0))</f>
        <v/>
      </c>
      <c r="BF264" s="23">
        <f>IF(AR264="","",IF(OR(TRIM(AM264&amp;"")&lt;&gt;"",AND(Skills!$B$13&lt;&gt;"",ISNUMBER(SEARCH(Skills!$B$13,AU264)))),1,0))</f>
        <v/>
      </c>
      <c r="BG264" s="23">
        <f>IF(AR264="","",IF(OR(TRIM(AN264&amp;"")&lt;&gt;"",AND(Skills!$B$14&lt;&gt;"",ISNUMBER(SEARCH(Skills!$B$14,AU264)))),1,0))</f>
        <v/>
      </c>
      <c r="BH264" s="23">
        <f>IF(AR264="","",IF(OR(TRIM(AO264&amp;"")&lt;&gt;"",AND(Skills!$B$15&lt;&gt;"",ISNUMBER(SEARCH(Skills!$B$15,AU264)))),1,0))</f>
        <v/>
      </c>
      <c r="BI264" s="23">
        <f>IF(AR264="","",IF(OR(TRIM(AP264&amp;"")&lt;&gt;"",AND(Skills!$B$16&lt;&gt;"",ISNUMBER(SEARCH(Skills!$B$16,AU264)))),1,0))</f>
        <v/>
      </c>
      <c r="BJ264" s="23">
        <f>IF(AR264="","",SUMPRODUCT($AX264:$BI264,Skills!$B$20:$M$20))</f>
        <v/>
      </c>
      <c r="BK264" s="23">
        <f>IF(AR264="","",BJ264*100000+(100000-ROW()))</f>
        <v/>
      </c>
      <c r="BL264" s="31">
        <f>IF(AR264="","",IF((IF(AND(AX264=1,Skills!$B$20=1),Skills!$B$5&amp;", ","")&amp;IF(AND(AY264=1,Skills!$C$20=1),Skills!$B$6&amp;", ","")&amp;IF(AND(AZ264=1,Skills!$D$20=1),Skills!$B$7&amp;", ","")&amp;IF(AND(BA264=1,Skills!$E$20=1),Skills!$B$8&amp;", ","")&amp;IF(AND(BB264=1,Skills!$F$20=1),Skills!$B$9&amp;", ","")&amp;IF(AND(BC264=1,Skills!$G$20=1),Skills!$B$10&amp;", ","")&amp;IF(AND(BD264=1,Skills!$H$20=1),Skills!$B$11&amp;", ","")&amp;IF(AND(BE264=1,Skills!$I$20=1),Skills!$B$12&amp;", ","")&amp;IF(AND(BF264=1,Skills!$J$20=1),Skills!$B$13&amp;", ","")&amp;IF(AND(BG264=1,Skills!$K$20=1),Skills!$B$14&amp;", ","")&amp;IF(AND(BH264=1,Skills!$L$20=1),Skills!$B$15&amp;", ","")&amp;IF(AND(BI264=1,Skills!$M$20=1),Skills!$B$16&amp;", ",""))="","",LEFT(IF(AND(AX264=1,Skills!$B$20=1),Skills!$B$5&amp;", ","")&amp;IF(AND(AY264=1,Skills!$C$20=1),Skills!$B$6&amp;", ","")&amp;IF(AND(AZ264=1,Skills!$D$20=1),Skills!$B$7&amp;", ","")&amp;IF(AND(BA264=1,Skills!$E$20=1),Skills!$B$8&amp;", ","")&amp;IF(AND(BB264=1,Skills!$F$20=1),Skills!$B$9&amp;", ","")&amp;IF(AND(BC264=1,Skills!$G$20=1),Skills!$B$10&amp;", ","")&amp;IF(AND(BD264=1,Skills!$H$20=1),Skills!$B$11&amp;", ","")&amp;IF(AND(BE264=1,Skills!$I$20=1),Skills!$B$12&amp;", ","")&amp;IF(AND(BF264=1,Skills!$J$20=1),Skills!$B$13&amp;", ","")&amp;IF(AND(BG264=1,Skills!$K$20=1),Skills!$B$14&amp;", ","")&amp;IF(AND(BH264=1,Skills!$L$20=1),Skills!$B$15&amp;", ","")&amp;IF(AND(BI264=1,Skills!$M$20=1),Skills!$B$16&amp;", ",""),LEN(IF(AND(AX264=1,Skills!$B$20=1),Skills!$B$5&amp;", ","")&amp;IF(AND(AY264=1,Skills!$C$20=1),Skills!$B$6&amp;", ","")&amp;IF(AND(AZ264=1,Skills!$D$20=1),Skills!$B$7&amp;", ","")&amp;IF(AND(BA264=1,Skills!$E$20=1),Skills!$B$8&amp;", ","")&amp;IF(AND(BB264=1,Skills!$F$20=1),Skills!$B$9&amp;", ","")&amp;IF(AND(BC264=1,Skills!$G$20=1),Skills!$B$10&amp;", ","")&amp;IF(AND(BD264=1,Skills!$H$20=1),Skills!$B$11&amp;", ","")&amp;IF(AND(BE264=1,Skills!$I$20=1),Skills!$B$12&amp;", ","")&amp;IF(AND(BF264=1,Skills!$J$20=1),Skills!$B$13&amp;", ","")&amp;IF(AND(BG264=1,Skills!$K$20=1),Skills!$B$14&amp;", ","")&amp;IF(AND(BH264=1,Skills!$L$20=1),Skills!$B$15&amp;", ","")&amp;IF(AND(BI264=1,Skills!$M$20=1),Skills!$B$16&amp;", ",""))-2)))</f>
        <v/>
      </c>
    </row>
    <row r="265">
      <c r="AD265" s="20" t="n"/>
      <c r="AE265" s="20" t="n"/>
      <c r="AF265" s="20" t="n"/>
      <c r="AG265" s="20" t="n"/>
      <c r="AH265" s="20" t="n"/>
      <c r="AI265" s="20" t="n"/>
      <c r="AJ265" s="20" t="n"/>
      <c r="AK265" s="20" t="n"/>
      <c r="AL265" s="20" t="n"/>
      <c r="AM265" s="20" t="n"/>
      <c r="AN265" s="20" t="n"/>
      <c r="AO265" s="20" t="n"/>
      <c r="AP265" s="20" t="n"/>
      <c r="AR265" s="31">
        <f>IF(IFERROR(TRIM(INDEX($A265:$AB265,MATCH(Lists!$B$5,$A$1:$AB$1,0))&amp;""),"")&lt;&gt;"",IFERROR(TRIM(INDEX($A265:$AB265,MATCH(Lists!$B$5,$A$1:$AB$1,0))&amp;""),""),IFERROR(TRIM(INDEX($A265:$AB265,MATCH(Lists!$B$3,$A$1:$AB$1,0))&amp;""),""))</f>
        <v/>
      </c>
      <c r="AS265" s="31">
        <f>IF(AR265="","",IF(IFERROR(TRIM(INDEX($A265:$AB265,MATCH(Lists!$B$5,$A$1:$AB$1,0))&amp;""),"")&lt;&gt;"","Nominated","Applied"))</f>
        <v/>
      </c>
      <c r="AT265" s="31">
        <f>IF(AR265="","",IF(IFERROR(TRIM(INDEX($A265:$AB265,MATCH(Lists!$B$5,$A$1:$AB$1,0))&amp;""),"")&lt;&gt;"",IFERROR(TRIM(INDEX($A265:$AB265,MATCH(Lists!$B$6,$A$1:$AB$1,0))&amp;""),""),IFERROR(TRIM(INDEX($A265:$AB265,MATCH(Lists!$B$4,$A$1:$AB$1,0))&amp;""),"")))</f>
        <v/>
      </c>
      <c r="AU265" s="31">
        <f>IF(AR265="","",IFERROR(TRIM(INDEX($A265:$AB265,MATCH(Lists!$B$7,$A$1:$AB$1,0))&amp;""),""))</f>
        <v/>
      </c>
      <c r="AV265" s="31">
        <f>IF(AR265="","",IFERROR(TRIM(INDEX($A265:$AB265,MATCH(Lists!$B$9,$A$1:$AB$1,0))&amp;""),""))</f>
        <v/>
      </c>
      <c r="AW265" s="31">
        <f>IF(AR265="","",IFERROR(TRIM(INDEX($A265:$AB265,MATCH(Lists!$B$8,$A$1:$AB$1,0))&amp;""),""))</f>
        <v/>
      </c>
      <c r="AX265" s="23">
        <f>IF(AR265="","",IF(OR(TRIM(AE265&amp;"")&lt;&gt;"",AND(Skills!$B$5&lt;&gt;"",ISNUMBER(SEARCH(Skills!$B$5,AU265)))),1,0))</f>
        <v/>
      </c>
      <c r="AY265" s="23">
        <f>IF(AR265="","",IF(OR(TRIM(AF265&amp;"")&lt;&gt;"",AND(Skills!$B$6&lt;&gt;"",ISNUMBER(SEARCH(Skills!$B$6,AU265)))),1,0))</f>
        <v/>
      </c>
      <c r="AZ265" s="23">
        <f>IF(AR265="","",IF(OR(TRIM(AG265&amp;"")&lt;&gt;"",AND(Skills!$B$7&lt;&gt;"",ISNUMBER(SEARCH(Skills!$B$7,AU265)))),1,0))</f>
        <v/>
      </c>
      <c r="BA265" s="23">
        <f>IF(AR265="","",IF(OR(TRIM(AH265&amp;"")&lt;&gt;"",AND(Skills!$B$8&lt;&gt;"",ISNUMBER(SEARCH(Skills!$B$8,AU265)))),1,0))</f>
        <v/>
      </c>
      <c r="BB265" s="23">
        <f>IF(AR265="","",IF(OR(TRIM(AI265&amp;"")&lt;&gt;"",AND(Skills!$B$9&lt;&gt;"",ISNUMBER(SEARCH(Skills!$B$9,AU265)))),1,0))</f>
        <v/>
      </c>
      <c r="BC265" s="23">
        <f>IF(AR265="","",IF(OR(TRIM(AJ265&amp;"")&lt;&gt;"",AND(Skills!$B$10&lt;&gt;"",ISNUMBER(SEARCH(Skills!$B$10,AU265)))),1,0))</f>
        <v/>
      </c>
      <c r="BD265" s="23">
        <f>IF(AR265="","",IF(OR(TRIM(AK265&amp;"")&lt;&gt;"",AND(Skills!$B$11&lt;&gt;"",ISNUMBER(SEARCH(Skills!$B$11,AU265)))),1,0))</f>
        <v/>
      </c>
      <c r="BE265" s="23">
        <f>IF(AR265="","",IF(OR(TRIM(AL265&amp;"")&lt;&gt;"",AND(Skills!$B$12&lt;&gt;"",ISNUMBER(SEARCH(Skills!$B$12,AU265)))),1,0))</f>
        <v/>
      </c>
      <c r="BF265" s="23">
        <f>IF(AR265="","",IF(OR(TRIM(AM265&amp;"")&lt;&gt;"",AND(Skills!$B$13&lt;&gt;"",ISNUMBER(SEARCH(Skills!$B$13,AU265)))),1,0))</f>
        <v/>
      </c>
      <c r="BG265" s="23">
        <f>IF(AR265="","",IF(OR(TRIM(AN265&amp;"")&lt;&gt;"",AND(Skills!$B$14&lt;&gt;"",ISNUMBER(SEARCH(Skills!$B$14,AU265)))),1,0))</f>
        <v/>
      </c>
      <c r="BH265" s="23">
        <f>IF(AR265="","",IF(OR(TRIM(AO265&amp;"")&lt;&gt;"",AND(Skills!$B$15&lt;&gt;"",ISNUMBER(SEARCH(Skills!$B$15,AU265)))),1,0))</f>
        <v/>
      </c>
      <c r="BI265" s="23">
        <f>IF(AR265="","",IF(OR(TRIM(AP265&amp;"")&lt;&gt;"",AND(Skills!$B$16&lt;&gt;"",ISNUMBER(SEARCH(Skills!$B$16,AU265)))),1,0))</f>
        <v/>
      </c>
      <c r="BJ265" s="23">
        <f>IF(AR265="","",SUMPRODUCT($AX265:$BI265,Skills!$B$20:$M$20))</f>
        <v/>
      </c>
      <c r="BK265" s="23">
        <f>IF(AR265="","",BJ265*100000+(100000-ROW()))</f>
        <v/>
      </c>
      <c r="BL265" s="31">
        <f>IF(AR265="","",IF((IF(AND(AX265=1,Skills!$B$20=1),Skills!$B$5&amp;", ","")&amp;IF(AND(AY265=1,Skills!$C$20=1),Skills!$B$6&amp;", ","")&amp;IF(AND(AZ265=1,Skills!$D$20=1),Skills!$B$7&amp;", ","")&amp;IF(AND(BA265=1,Skills!$E$20=1),Skills!$B$8&amp;", ","")&amp;IF(AND(BB265=1,Skills!$F$20=1),Skills!$B$9&amp;", ","")&amp;IF(AND(BC265=1,Skills!$G$20=1),Skills!$B$10&amp;", ","")&amp;IF(AND(BD265=1,Skills!$H$20=1),Skills!$B$11&amp;", ","")&amp;IF(AND(BE265=1,Skills!$I$20=1),Skills!$B$12&amp;", ","")&amp;IF(AND(BF265=1,Skills!$J$20=1),Skills!$B$13&amp;", ","")&amp;IF(AND(BG265=1,Skills!$K$20=1),Skills!$B$14&amp;", ","")&amp;IF(AND(BH265=1,Skills!$L$20=1),Skills!$B$15&amp;", ","")&amp;IF(AND(BI265=1,Skills!$M$20=1),Skills!$B$16&amp;", ",""))="","",LEFT(IF(AND(AX265=1,Skills!$B$20=1),Skills!$B$5&amp;", ","")&amp;IF(AND(AY265=1,Skills!$C$20=1),Skills!$B$6&amp;", ","")&amp;IF(AND(AZ265=1,Skills!$D$20=1),Skills!$B$7&amp;", ","")&amp;IF(AND(BA265=1,Skills!$E$20=1),Skills!$B$8&amp;", ","")&amp;IF(AND(BB265=1,Skills!$F$20=1),Skills!$B$9&amp;", ","")&amp;IF(AND(BC265=1,Skills!$G$20=1),Skills!$B$10&amp;", ","")&amp;IF(AND(BD265=1,Skills!$H$20=1),Skills!$B$11&amp;", ","")&amp;IF(AND(BE265=1,Skills!$I$20=1),Skills!$B$12&amp;", ","")&amp;IF(AND(BF265=1,Skills!$J$20=1),Skills!$B$13&amp;", ","")&amp;IF(AND(BG265=1,Skills!$K$20=1),Skills!$B$14&amp;", ","")&amp;IF(AND(BH265=1,Skills!$L$20=1),Skills!$B$15&amp;", ","")&amp;IF(AND(BI265=1,Skills!$M$20=1),Skills!$B$16&amp;", ",""),LEN(IF(AND(AX265=1,Skills!$B$20=1),Skills!$B$5&amp;", ","")&amp;IF(AND(AY265=1,Skills!$C$20=1),Skills!$B$6&amp;", ","")&amp;IF(AND(AZ265=1,Skills!$D$20=1),Skills!$B$7&amp;", ","")&amp;IF(AND(BA265=1,Skills!$E$20=1),Skills!$B$8&amp;", ","")&amp;IF(AND(BB265=1,Skills!$F$20=1),Skills!$B$9&amp;", ","")&amp;IF(AND(BC265=1,Skills!$G$20=1),Skills!$B$10&amp;", ","")&amp;IF(AND(BD265=1,Skills!$H$20=1),Skills!$B$11&amp;", ","")&amp;IF(AND(BE265=1,Skills!$I$20=1),Skills!$B$12&amp;", ","")&amp;IF(AND(BF265=1,Skills!$J$20=1),Skills!$B$13&amp;", ","")&amp;IF(AND(BG265=1,Skills!$K$20=1),Skills!$B$14&amp;", ","")&amp;IF(AND(BH265=1,Skills!$L$20=1),Skills!$B$15&amp;", ","")&amp;IF(AND(BI265=1,Skills!$M$20=1),Skills!$B$16&amp;", ",""))-2)))</f>
        <v/>
      </c>
    </row>
    <row r="266">
      <c r="AD266" s="20" t="n"/>
      <c r="AE266" s="20" t="n"/>
      <c r="AF266" s="20" t="n"/>
      <c r="AG266" s="20" t="n"/>
      <c r="AH266" s="20" t="n"/>
      <c r="AI266" s="20" t="n"/>
      <c r="AJ266" s="20" t="n"/>
      <c r="AK266" s="20" t="n"/>
      <c r="AL266" s="20" t="n"/>
      <c r="AM266" s="20" t="n"/>
      <c r="AN266" s="20" t="n"/>
      <c r="AO266" s="20" t="n"/>
      <c r="AP266" s="20" t="n"/>
      <c r="AR266" s="31">
        <f>IF(IFERROR(TRIM(INDEX($A266:$AB266,MATCH(Lists!$B$5,$A$1:$AB$1,0))&amp;""),"")&lt;&gt;"",IFERROR(TRIM(INDEX($A266:$AB266,MATCH(Lists!$B$5,$A$1:$AB$1,0))&amp;""),""),IFERROR(TRIM(INDEX($A266:$AB266,MATCH(Lists!$B$3,$A$1:$AB$1,0))&amp;""),""))</f>
        <v/>
      </c>
      <c r="AS266" s="31">
        <f>IF(AR266="","",IF(IFERROR(TRIM(INDEX($A266:$AB266,MATCH(Lists!$B$5,$A$1:$AB$1,0))&amp;""),"")&lt;&gt;"","Nominated","Applied"))</f>
        <v/>
      </c>
      <c r="AT266" s="31">
        <f>IF(AR266="","",IF(IFERROR(TRIM(INDEX($A266:$AB266,MATCH(Lists!$B$5,$A$1:$AB$1,0))&amp;""),"")&lt;&gt;"",IFERROR(TRIM(INDEX($A266:$AB266,MATCH(Lists!$B$6,$A$1:$AB$1,0))&amp;""),""),IFERROR(TRIM(INDEX($A266:$AB266,MATCH(Lists!$B$4,$A$1:$AB$1,0))&amp;""),"")))</f>
        <v/>
      </c>
      <c r="AU266" s="31">
        <f>IF(AR266="","",IFERROR(TRIM(INDEX($A266:$AB266,MATCH(Lists!$B$7,$A$1:$AB$1,0))&amp;""),""))</f>
        <v/>
      </c>
      <c r="AV266" s="31">
        <f>IF(AR266="","",IFERROR(TRIM(INDEX($A266:$AB266,MATCH(Lists!$B$9,$A$1:$AB$1,0))&amp;""),""))</f>
        <v/>
      </c>
      <c r="AW266" s="31">
        <f>IF(AR266="","",IFERROR(TRIM(INDEX($A266:$AB266,MATCH(Lists!$B$8,$A$1:$AB$1,0))&amp;""),""))</f>
        <v/>
      </c>
      <c r="AX266" s="23">
        <f>IF(AR266="","",IF(OR(TRIM(AE266&amp;"")&lt;&gt;"",AND(Skills!$B$5&lt;&gt;"",ISNUMBER(SEARCH(Skills!$B$5,AU266)))),1,0))</f>
        <v/>
      </c>
      <c r="AY266" s="23">
        <f>IF(AR266="","",IF(OR(TRIM(AF266&amp;"")&lt;&gt;"",AND(Skills!$B$6&lt;&gt;"",ISNUMBER(SEARCH(Skills!$B$6,AU266)))),1,0))</f>
        <v/>
      </c>
      <c r="AZ266" s="23">
        <f>IF(AR266="","",IF(OR(TRIM(AG266&amp;"")&lt;&gt;"",AND(Skills!$B$7&lt;&gt;"",ISNUMBER(SEARCH(Skills!$B$7,AU266)))),1,0))</f>
        <v/>
      </c>
      <c r="BA266" s="23">
        <f>IF(AR266="","",IF(OR(TRIM(AH266&amp;"")&lt;&gt;"",AND(Skills!$B$8&lt;&gt;"",ISNUMBER(SEARCH(Skills!$B$8,AU266)))),1,0))</f>
        <v/>
      </c>
      <c r="BB266" s="23">
        <f>IF(AR266="","",IF(OR(TRIM(AI266&amp;"")&lt;&gt;"",AND(Skills!$B$9&lt;&gt;"",ISNUMBER(SEARCH(Skills!$B$9,AU266)))),1,0))</f>
        <v/>
      </c>
      <c r="BC266" s="23">
        <f>IF(AR266="","",IF(OR(TRIM(AJ266&amp;"")&lt;&gt;"",AND(Skills!$B$10&lt;&gt;"",ISNUMBER(SEARCH(Skills!$B$10,AU266)))),1,0))</f>
        <v/>
      </c>
      <c r="BD266" s="23">
        <f>IF(AR266="","",IF(OR(TRIM(AK266&amp;"")&lt;&gt;"",AND(Skills!$B$11&lt;&gt;"",ISNUMBER(SEARCH(Skills!$B$11,AU266)))),1,0))</f>
        <v/>
      </c>
      <c r="BE266" s="23">
        <f>IF(AR266="","",IF(OR(TRIM(AL266&amp;"")&lt;&gt;"",AND(Skills!$B$12&lt;&gt;"",ISNUMBER(SEARCH(Skills!$B$12,AU266)))),1,0))</f>
        <v/>
      </c>
      <c r="BF266" s="23">
        <f>IF(AR266="","",IF(OR(TRIM(AM266&amp;"")&lt;&gt;"",AND(Skills!$B$13&lt;&gt;"",ISNUMBER(SEARCH(Skills!$B$13,AU266)))),1,0))</f>
        <v/>
      </c>
      <c r="BG266" s="23">
        <f>IF(AR266="","",IF(OR(TRIM(AN266&amp;"")&lt;&gt;"",AND(Skills!$B$14&lt;&gt;"",ISNUMBER(SEARCH(Skills!$B$14,AU266)))),1,0))</f>
        <v/>
      </c>
      <c r="BH266" s="23">
        <f>IF(AR266="","",IF(OR(TRIM(AO266&amp;"")&lt;&gt;"",AND(Skills!$B$15&lt;&gt;"",ISNUMBER(SEARCH(Skills!$B$15,AU266)))),1,0))</f>
        <v/>
      </c>
      <c r="BI266" s="23">
        <f>IF(AR266="","",IF(OR(TRIM(AP266&amp;"")&lt;&gt;"",AND(Skills!$B$16&lt;&gt;"",ISNUMBER(SEARCH(Skills!$B$16,AU266)))),1,0))</f>
        <v/>
      </c>
      <c r="BJ266" s="23">
        <f>IF(AR266="","",SUMPRODUCT($AX266:$BI266,Skills!$B$20:$M$20))</f>
        <v/>
      </c>
      <c r="BK266" s="23">
        <f>IF(AR266="","",BJ266*100000+(100000-ROW()))</f>
        <v/>
      </c>
      <c r="BL266" s="31">
        <f>IF(AR266="","",IF((IF(AND(AX266=1,Skills!$B$20=1),Skills!$B$5&amp;", ","")&amp;IF(AND(AY266=1,Skills!$C$20=1),Skills!$B$6&amp;", ","")&amp;IF(AND(AZ266=1,Skills!$D$20=1),Skills!$B$7&amp;", ","")&amp;IF(AND(BA266=1,Skills!$E$20=1),Skills!$B$8&amp;", ","")&amp;IF(AND(BB266=1,Skills!$F$20=1),Skills!$B$9&amp;", ","")&amp;IF(AND(BC266=1,Skills!$G$20=1),Skills!$B$10&amp;", ","")&amp;IF(AND(BD266=1,Skills!$H$20=1),Skills!$B$11&amp;", ","")&amp;IF(AND(BE266=1,Skills!$I$20=1),Skills!$B$12&amp;", ","")&amp;IF(AND(BF266=1,Skills!$J$20=1),Skills!$B$13&amp;", ","")&amp;IF(AND(BG266=1,Skills!$K$20=1),Skills!$B$14&amp;", ","")&amp;IF(AND(BH266=1,Skills!$L$20=1),Skills!$B$15&amp;", ","")&amp;IF(AND(BI266=1,Skills!$M$20=1),Skills!$B$16&amp;", ",""))="","",LEFT(IF(AND(AX266=1,Skills!$B$20=1),Skills!$B$5&amp;", ","")&amp;IF(AND(AY266=1,Skills!$C$20=1),Skills!$B$6&amp;", ","")&amp;IF(AND(AZ266=1,Skills!$D$20=1),Skills!$B$7&amp;", ","")&amp;IF(AND(BA266=1,Skills!$E$20=1),Skills!$B$8&amp;", ","")&amp;IF(AND(BB266=1,Skills!$F$20=1),Skills!$B$9&amp;", ","")&amp;IF(AND(BC266=1,Skills!$G$20=1),Skills!$B$10&amp;", ","")&amp;IF(AND(BD266=1,Skills!$H$20=1),Skills!$B$11&amp;", ","")&amp;IF(AND(BE266=1,Skills!$I$20=1),Skills!$B$12&amp;", ","")&amp;IF(AND(BF266=1,Skills!$J$20=1),Skills!$B$13&amp;", ","")&amp;IF(AND(BG266=1,Skills!$K$20=1),Skills!$B$14&amp;", ","")&amp;IF(AND(BH266=1,Skills!$L$20=1),Skills!$B$15&amp;", ","")&amp;IF(AND(BI266=1,Skills!$M$20=1),Skills!$B$16&amp;", ",""),LEN(IF(AND(AX266=1,Skills!$B$20=1),Skills!$B$5&amp;", ","")&amp;IF(AND(AY266=1,Skills!$C$20=1),Skills!$B$6&amp;", ","")&amp;IF(AND(AZ266=1,Skills!$D$20=1),Skills!$B$7&amp;", ","")&amp;IF(AND(BA266=1,Skills!$E$20=1),Skills!$B$8&amp;", ","")&amp;IF(AND(BB266=1,Skills!$F$20=1),Skills!$B$9&amp;", ","")&amp;IF(AND(BC266=1,Skills!$G$20=1),Skills!$B$10&amp;", ","")&amp;IF(AND(BD266=1,Skills!$H$20=1),Skills!$B$11&amp;", ","")&amp;IF(AND(BE266=1,Skills!$I$20=1),Skills!$B$12&amp;", ","")&amp;IF(AND(BF266=1,Skills!$J$20=1),Skills!$B$13&amp;", ","")&amp;IF(AND(BG266=1,Skills!$K$20=1),Skills!$B$14&amp;", ","")&amp;IF(AND(BH266=1,Skills!$L$20=1),Skills!$B$15&amp;", ","")&amp;IF(AND(BI266=1,Skills!$M$20=1),Skills!$B$16&amp;", ",""))-2)))</f>
        <v/>
      </c>
    </row>
    <row r="267">
      <c r="AD267" s="20" t="n"/>
      <c r="AE267" s="20" t="n"/>
      <c r="AF267" s="20" t="n"/>
      <c r="AG267" s="20" t="n"/>
      <c r="AH267" s="20" t="n"/>
      <c r="AI267" s="20" t="n"/>
      <c r="AJ267" s="20" t="n"/>
      <c r="AK267" s="20" t="n"/>
      <c r="AL267" s="20" t="n"/>
      <c r="AM267" s="20" t="n"/>
      <c r="AN267" s="20" t="n"/>
      <c r="AO267" s="20" t="n"/>
      <c r="AP267" s="20" t="n"/>
      <c r="AR267" s="31">
        <f>IF(IFERROR(TRIM(INDEX($A267:$AB267,MATCH(Lists!$B$5,$A$1:$AB$1,0))&amp;""),"")&lt;&gt;"",IFERROR(TRIM(INDEX($A267:$AB267,MATCH(Lists!$B$5,$A$1:$AB$1,0))&amp;""),""),IFERROR(TRIM(INDEX($A267:$AB267,MATCH(Lists!$B$3,$A$1:$AB$1,0))&amp;""),""))</f>
        <v/>
      </c>
      <c r="AS267" s="31">
        <f>IF(AR267="","",IF(IFERROR(TRIM(INDEX($A267:$AB267,MATCH(Lists!$B$5,$A$1:$AB$1,0))&amp;""),"")&lt;&gt;"","Nominated","Applied"))</f>
        <v/>
      </c>
      <c r="AT267" s="31">
        <f>IF(AR267="","",IF(IFERROR(TRIM(INDEX($A267:$AB267,MATCH(Lists!$B$5,$A$1:$AB$1,0))&amp;""),"")&lt;&gt;"",IFERROR(TRIM(INDEX($A267:$AB267,MATCH(Lists!$B$6,$A$1:$AB$1,0))&amp;""),""),IFERROR(TRIM(INDEX($A267:$AB267,MATCH(Lists!$B$4,$A$1:$AB$1,0))&amp;""),"")))</f>
        <v/>
      </c>
      <c r="AU267" s="31">
        <f>IF(AR267="","",IFERROR(TRIM(INDEX($A267:$AB267,MATCH(Lists!$B$7,$A$1:$AB$1,0))&amp;""),""))</f>
        <v/>
      </c>
      <c r="AV267" s="31">
        <f>IF(AR267="","",IFERROR(TRIM(INDEX($A267:$AB267,MATCH(Lists!$B$9,$A$1:$AB$1,0))&amp;""),""))</f>
        <v/>
      </c>
      <c r="AW267" s="31">
        <f>IF(AR267="","",IFERROR(TRIM(INDEX($A267:$AB267,MATCH(Lists!$B$8,$A$1:$AB$1,0))&amp;""),""))</f>
        <v/>
      </c>
      <c r="AX267" s="23">
        <f>IF(AR267="","",IF(OR(TRIM(AE267&amp;"")&lt;&gt;"",AND(Skills!$B$5&lt;&gt;"",ISNUMBER(SEARCH(Skills!$B$5,AU267)))),1,0))</f>
        <v/>
      </c>
      <c r="AY267" s="23">
        <f>IF(AR267="","",IF(OR(TRIM(AF267&amp;"")&lt;&gt;"",AND(Skills!$B$6&lt;&gt;"",ISNUMBER(SEARCH(Skills!$B$6,AU267)))),1,0))</f>
        <v/>
      </c>
      <c r="AZ267" s="23">
        <f>IF(AR267="","",IF(OR(TRIM(AG267&amp;"")&lt;&gt;"",AND(Skills!$B$7&lt;&gt;"",ISNUMBER(SEARCH(Skills!$B$7,AU267)))),1,0))</f>
        <v/>
      </c>
      <c r="BA267" s="23">
        <f>IF(AR267="","",IF(OR(TRIM(AH267&amp;"")&lt;&gt;"",AND(Skills!$B$8&lt;&gt;"",ISNUMBER(SEARCH(Skills!$B$8,AU267)))),1,0))</f>
        <v/>
      </c>
      <c r="BB267" s="23">
        <f>IF(AR267="","",IF(OR(TRIM(AI267&amp;"")&lt;&gt;"",AND(Skills!$B$9&lt;&gt;"",ISNUMBER(SEARCH(Skills!$B$9,AU267)))),1,0))</f>
        <v/>
      </c>
      <c r="BC267" s="23">
        <f>IF(AR267="","",IF(OR(TRIM(AJ267&amp;"")&lt;&gt;"",AND(Skills!$B$10&lt;&gt;"",ISNUMBER(SEARCH(Skills!$B$10,AU267)))),1,0))</f>
        <v/>
      </c>
      <c r="BD267" s="23">
        <f>IF(AR267="","",IF(OR(TRIM(AK267&amp;"")&lt;&gt;"",AND(Skills!$B$11&lt;&gt;"",ISNUMBER(SEARCH(Skills!$B$11,AU267)))),1,0))</f>
        <v/>
      </c>
      <c r="BE267" s="23">
        <f>IF(AR267="","",IF(OR(TRIM(AL267&amp;"")&lt;&gt;"",AND(Skills!$B$12&lt;&gt;"",ISNUMBER(SEARCH(Skills!$B$12,AU267)))),1,0))</f>
        <v/>
      </c>
      <c r="BF267" s="23">
        <f>IF(AR267="","",IF(OR(TRIM(AM267&amp;"")&lt;&gt;"",AND(Skills!$B$13&lt;&gt;"",ISNUMBER(SEARCH(Skills!$B$13,AU267)))),1,0))</f>
        <v/>
      </c>
      <c r="BG267" s="23">
        <f>IF(AR267="","",IF(OR(TRIM(AN267&amp;"")&lt;&gt;"",AND(Skills!$B$14&lt;&gt;"",ISNUMBER(SEARCH(Skills!$B$14,AU267)))),1,0))</f>
        <v/>
      </c>
      <c r="BH267" s="23">
        <f>IF(AR267="","",IF(OR(TRIM(AO267&amp;"")&lt;&gt;"",AND(Skills!$B$15&lt;&gt;"",ISNUMBER(SEARCH(Skills!$B$15,AU267)))),1,0))</f>
        <v/>
      </c>
      <c r="BI267" s="23">
        <f>IF(AR267="","",IF(OR(TRIM(AP267&amp;"")&lt;&gt;"",AND(Skills!$B$16&lt;&gt;"",ISNUMBER(SEARCH(Skills!$B$16,AU267)))),1,0))</f>
        <v/>
      </c>
      <c r="BJ267" s="23">
        <f>IF(AR267="","",SUMPRODUCT($AX267:$BI267,Skills!$B$20:$M$20))</f>
        <v/>
      </c>
      <c r="BK267" s="23">
        <f>IF(AR267="","",BJ267*100000+(100000-ROW()))</f>
        <v/>
      </c>
      <c r="BL267" s="31">
        <f>IF(AR267="","",IF((IF(AND(AX267=1,Skills!$B$20=1),Skills!$B$5&amp;", ","")&amp;IF(AND(AY267=1,Skills!$C$20=1),Skills!$B$6&amp;", ","")&amp;IF(AND(AZ267=1,Skills!$D$20=1),Skills!$B$7&amp;", ","")&amp;IF(AND(BA267=1,Skills!$E$20=1),Skills!$B$8&amp;", ","")&amp;IF(AND(BB267=1,Skills!$F$20=1),Skills!$B$9&amp;", ","")&amp;IF(AND(BC267=1,Skills!$G$20=1),Skills!$B$10&amp;", ","")&amp;IF(AND(BD267=1,Skills!$H$20=1),Skills!$B$11&amp;", ","")&amp;IF(AND(BE267=1,Skills!$I$20=1),Skills!$B$12&amp;", ","")&amp;IF(AND(BF267=1,Skills!$J$20=1),Skills!$B$13&amp;", ","")&amp;IF(AND(BG267=1,Skills!$K$20=1),Skills!$B$14&amp;", ","")&amp;IF(AND(BH267=1,Skills!$L$20=1),Skills!$B$15&amp;", ","")&amp;IF(AND(BI267=1,Skills!$M$20=1),Skills!$B$16&amp;", ",""))="","",LEFT(IF(AND(AX267=1,Skills!$B$20=1),Skills!$B$5&amp;", ","")&amp;IF(AND(AY267=1,Skills!$C$20=1),Skills!$B$6&amp;", ","")&amp;IF(AND(AZ267=1,Skills!$D$20=1),Skills!$B$7&amp;", ","")&amp;IF(AND(BA267=1,Skills!$E$20=1),Skills!$B$8&amp;", ","")&amp;IF(AND(BB267=1,Skills!$F$20=1),Skills!$B$9&amp;", ","")&amp;IF(AND(BC267=1,Skills!$G$20=1),Skills!$B$10&amp;", ","")&amp;IF(AND(BD267=1,Skills!$H$20=1),Skills!$B$11&amp;", ","")&amp;IF(AND(BE267=1,Skills!$I$20=1),Skills!$B$12&amp;", ","")&amp;IF(AND(BF267=1,Skills!$J$20=1),Skills!$B$13&amp;", ","")&amp;IF(AND(BG267=1,Skills!$K$20=1),Skills!$B$14&amp;", ","")&amp;IF(AND(BH267=1,Skills!$L$20=1),Skills!$B$15&amp;", ","")&amp;IF(AND(BI267=1,Skills!$M$20=1),Skills!$B$16&amp;", ",""),LEN(IF(AND(AX267=1,Skills!$B$20=1),Skills!$B$5&amp;", ","")&amp;IF(AND(AY267=1,Skills!$C$20=1),Skills!$B$6&amp;", ","")&amp;IF(AND(AZ267=1,Skills!$D$20=1),Skills!$B$7&amp;", ","")&amp;IF(AND(BA267=1,Skills!$E$20=1),Skills!$B$8&amp;", ","")&amp;IF(AND(BB267=1,Skills!$F$20=1),Skills!$B$9&amp;", ","")&amp;IF(AND(BC267=1,Skills!$G$20=1),Skills!$B$10&amp;", ","")&amp;IF(AND(BD267=1,Skills!$H$20=1),Skills!$B$11&amp;", ","")&amp;IF(AND(BE267=1,Skills!$I$20=1),Skills!$B$12&amp;", ","")&amp;IF(AND(BF267=1,Skills!$J$20=1),Skills!$B$13&amp;", ","")&amp;IF(AND(BG267=1,Skills!$K$20=1),Skills!$B$14&amp;", ","")&amp;IF(AND(BH267=1,Skills!$L$20=1),Skills!$B$15&amp;", ","")&amp;IF(AND(BI267=1,Skills!$M$20=1),Skills!$B$16&amp;", ",""))-2)))</f>
        <v/>
      </c>
    </row>
    <row r="268">
      <c r="AD268" s="20" t="n"/>
      <c r="AE268" s="20" t="n"/>
      <c r="AF268" s="20" t="n"/>
      <c r="AG268" s="20" t="n"/>
      <c r="AH268" s="20" t="n"/>
      <c r="AI268" s="20" t="n"/>
      <c r="AJ268" s="20" t="n"/>
      <c r="AK268" s="20" t="n"/>
      <c r="AL268" s="20" t="n"/>
      <c r="AM268" s="20" t="n"/>
      <c r="AN268" s="20" t="n"/>
      <c r="AO268" s="20" t="n"/>
      <c r="AP268" s="20" t="n"/>
      <c r="AR268" s="31">
        <f>IF(IFERROR(TRIM(INDEX($A268:$AB268,MATCH(Lists!$B$5,$A$1:$AB$1,0))&amp;""),"")&lt;&gt;"",IFERROR(TRIM(INDEX($A268:$AB268,MATCH(Lists!$B$5,$A$1:$AB$1,0))&amp;""),""),IFERROR(TRIM(INDEX($A268:$AB268,MATCH(Lists!$B$3,$A$1:$AB$1,0))&amp;""),""))</f>
        <v/>
      </c>
      <c r="AS268" s="31">
        <f>IF(AR268="","",IF(IFERROR(TRIM(INDEX($A268:$AB268,MATCH(Lists!$B$5,$A$1:$AB$1,0))&amp;""),"")&lt;&gt;"","Nominated","Applied"))</f>
        <v/>
      </c>
      <c r="AT268" s="31">
        <f>IF(AR268="","",IF(IFERROR(TRIM(INDEX($A268:$AB268,MATCH(Lists!$B$5,$A$1:$AB$1,0))&amp;""),"")&lt;&gt;"",IFERROR(TRIM(INDEX($A268:$AB268,MATCH(Lists!$B$6,$A$1:$AB$1,0))&amp;""),""),IFERROR(TRIM(INDEX($A268:$AB268,MATCH(Lists!$B$4,$A$1:$AB$1,0))&amp;""),"")))</f>
        <v/>
      </c>
      <c r="AU268" s="31">
        <f>IF(AR268="","",IFERROR(TRIM(INDEX($A268:$AB268,MATCH(Lists!$B$7,$A$1:$AB$1,0))&amp;""),""))</f>
        <v/>
      </c>
      <c r="AV268" s="31">
        <f>IF(AR268="","",IFERROR(TRIM(INDEX($A268:$AB268,MATCH(Lists!$B$9,$A$1:$AB$1,0))&amp;""),""))</f>
        <v/>
      </c>
      <c r="AW268" s="31">
        <f>IF(AR268="","",IFERROR(TRIM(INDEX($A268:$AB268,MATCH(Lists!$B$8,$A$1:$AB$1,0))&amp;""),""))</f>
        <v/>
      </c>
      <c r="AX268" s="23">
        <f>IF(AR268="","",IF(OR(TRIM(AE268&amp;"")&lt;&gt;"",AND(Skills!$B$5&lt;&gt;"",ISNUMBER(SEARCH(Skills!$B$5,AU268)))),1,0))</f>
        <v/>
      </c>
      <c r="AY268" s="23">
        <f>IF(AR268="","",IF(OR(TRIM(AF268&amp;"")&lt;&gt;"",AND(Skills!$B$6&lt;&gt;"",ISNUMBER(SEARCH(Skills!$B$6,AU268)))),1,0))</f>
        <v/>
      </c>
      <c r="AZ268" s="23">
        <f>IF(AR268="","",IF(OR(TRIM(AG268&amp;"")&lt;&gt;"",AND(Skills!$B$7&lt;&gt;"",ISNUMBER(SEARCH(Skills!$B$7,AU268)))),1,0))</f>
        <v/>
      </c>
      <c r="BA268" s="23">
        <f>IF(AR268="","",IF(OR(TRIM(AH268&amp;"")&lt;&gt;"",AND(Skills!$B$8&lt;&gt;"",ISNUMBER(SEARCH(Skills!$B$8,AU268)))),1,0))</f>
        <v/>
      </c>
      <c r="BB268" s="23">
        <f>IF(AR268="","",IF(OR(TRIM(AI268&amp;"")&lt;&gt;"",AND(Skills!$B$9&lt;&gt;"",ISNUMBER(SEARCH(Skills!$B$9,AU268)))),1,0))</f>
        <v/>
      </c>
      <c r="BC268" s="23">
        <f>IF(AR268="","",IF(OR(TRIM(AJ268&amp;"")&lt;&gt;"",AND(Skills!$B$10&lt;&gt;"",ISNUMBER(SEARCH(Skills!$B$10,AU268)))),1,0))</f>
        <v/>
      </c>
      <c r="BD268" s="23">
        <f>IF(AR268="","",IF(OR(TRIM(AK268&amp;"")&lt;&gt;"",AND(Skills!$B$11&lt;&gt;"",ISNUMBER(SEARCH(Skills!$B$11,AU268)))),1,0))</f>
        <v/>
      </c>
      <c r="BE268" s="23">
        <f>IF(AR268="","",IF(OR(TRIM(AL268&amp;"")&lt;&gt;"",AND(Skills!$B$12&lt;&gt;"",ISNUMBER(SEARCH(Skills!$B$12,AU268)))),1,0))</f>
        <v/>
      </c>
      <c r="BF268" s="23">
        <f>IF(AR268="","",IF(OR(TRIM(AM268&amp;"")&lt;&gt;"",AND(Skills!$B$13&lt;&gt;"",ISNUMBER(SEARCH(Skills!$B$13,AU268)))),1,0))</f>
        <v/>
      </c>
      <c r="BG268" s="23">
        <f>IF(AR268="","",IF(OR(TRIM(AN268&amp;"")&lt;&gt;"",AND(Skills!$B$14&lt;&gt;"",ISNUMBER(SEARCH(Skills!$B$14,AU268)))),1,0))</f>
        <v/>
      </c>
      <c r="BH268" s="23">
        <f>IF(AR268="","",IF(OR(TRIM(AO268&amp;"")&lt;&gt;"",AND(Skills!$B$15&lt;&gt;"",ISNUMBER(SEARCH(Skills!$B$15,AU268)))),1,0))</f>
        <v/>
      </c>
      <c r="BI268" s="23">
        <f>IF(AR268="","",IF(OR(TRIM(AP268&amp;"")&lt;&gt;"",AND(Skills!$B$16&lt;&gt;"",ISNUMBER(SEARCH(Skills!$B$16,AU268)))),1,0))</f>
        <v/>
      </c>
      <c r="BJ268" s="23">
        <f>IF(AR268="","",SUMPRODUCT($AX268:$BI268,Skills!$B$20:$M$20))</f>
        <v/>
      </c>
      <c r="BK268" s="23">
        <f>IF(AR268="","",BJ268*100000+(100000-ROW()))</f>
        <v/>
      </c>
      <c r="BL268" s="31">
        <f>IF(AR268="","",IF((IF(AND(AX268=1,Skills!$B$20=1),Skills!$B$5&amp;", ","")&amp;IF(AND(AY268=1,Skills!$C$20=1),Skills!$B$6&amp;", ","")&amp;IF(AND(AZ268=1,Skills!$D$20=1),Skills!$B$7&amp;", ","")&amp;IF(AND(BA268=1,Skills!$E$20=1),Skills!$B$8&amp;", ","")&amp;IF(AND(BB268=1,Skills!$F$20=1),Skills!$B$9&amp;", ","")&amp;IF(AND(BC268=1,Skills!$G$20=1),Skills!$B$10&amp;", ","")&amp;IF(AND(BD268=1,Skills!$H$20=1),Skills!$B$11&amp;", ","")&amp;IF(AND(BE268=1,Skills!$I$20=1),Skills!$B$12&amp;", ","")&amp;IF(AND(BF268=1,Skills!$J$20=1),Skills!$B$13&amp;", ","")&amp;IF(AND(BG268=1,Skills!$K$20=1),Skills!$B$14&amp;", ","")&amp;IF(AND(BH268=1,Skills!$L$20=1),Skills!$B$15&amp;", ","")&amp;IF(AND(BI268=1,Skills!$M$20=1),Skills!$B$16&amp;", ",""))="","",LEFT(IF(AND(AX268=1,Skills!$B$20=1),Skills!$B$5&amp;", ","")&amp;IF(AND(AY268=1,Skills!$C$20=1),Skills!$B$6&amp;", ","")&amp;IF(AND(AZ268=1,Skills!$D$20=1),Skills!$B$7&amp;", ","")&amp;IF(AND(BA268=1,Skills!$E$20=1),Skills!$B$8&amp;", ","")&amp;IF(AND(BB268=1,Skills!$F$20=1),Skills!$B$9&amp;", ","")&amp;IF(AND(BC268=1,Skills!$G$20=1),Skills!$B$10&amp;", ","")&amp;IF(AND(BD268=1,Skills!$H$20=1),Skills!$B$11&amp;", ","")&amp;IF(AND(BE268=1,Skills!$I$20=1),Skills!$B$12&amp;", ","")&amp;IF(AND(BF268=1,Skills!$J$20=1),Skills!$B$13&amp;", ","")&amp;IF(AND(BG268=1,Skills!$K$20=1),Skills!$B$14&amp;", ","")&amp;IF(AND(BH268=1,Skills!$L$20=1),Skills!$B$15&amp;", ","")&amp;IF(AND(BI268=1,Skills!$M$20=1),Skills!$B$16&amp;", ",""),LEN(IF(AND(AX268=1,Skills!$B$20=1),Skills!$B$5&amp;", ","")&amp;IF(AND(AY268=1,Skills!$C$20=1),Skills!$B$6&amp;", ","")&amp;IF(AND(AZ268=1,Skills!$D$20=1),Skills!$B$7&amp;", ","")&amp;IF(AND(BA268=1,Skills!$E$20=1),Skills!$B$8&amp;", ","")&amp;IF(AND(BB268=1,Skills!$F$20=1),Skills!$B$9&amp;", ","")&amp;IF(AND(BC268=1,Skills!$G$20=1),Skills!$B$10&amp;", ","")&amp;IF(AND(BD268=1,Skills!$H$20=1),Skills!$B$11&amp;", ","")&amp;IF(AND(BE268=1,Skills!$I$20=1),Skills!$B$12&amp;", ","")&amp;IF(AND(BF268=1,Skills!$J$20=1),Skills!$B$13&amp;", ","")&amp;IF(AND(BG268=1,Skills!$K$20=1),Skills!$B$14&amp;", ","")&amp;IF(AND(BH268=1,Skills!$L$20=1),Skills!$B$15&amp;", ","")&amp;IF(AND(BI268=1,Skills!$M$20=1),Skills!$B$16&amp;", ",""))-2)))</f>
        <v/>
      </c>
    </row>
    <row r="269">
      <c r="AD269" s="20" t="n"/>
      <c r="AE269" s="20" t="n"/>
      <c r="AF269" s="20" t="n"/>
      <c r="AG269" s="20" t="n"/>
      <c r="AH269" s="20" t="n"/>
      <c r="AI269" s="20" t="n"/>
      <c r="AJ269" s="20" t="n"/>
      <c r="AK269" s="20" t="n"/>
      <c r="AL269" s="20" t="n"/>
      <c r="AM269" s="20" t="n"/>
      <c r="AN269" s="20" t="n"/>
      <c r="AO269" s="20" t="n"/>
      <c r="AP269" s="20" t="n"/>
      <c r="AR269" s="31">
        <f>IF(IFERROR(TRIM(INDEX($A269:$AB269,MATCH(Lists!$B$5,$A$1:$AB$1,0))&amp;""),"")&lt;&gt;"",IFERROR(TRIM(INDEX($A269:$AB269,MATCH(Lists!$B$5,$A$1:$AB$1,0))&amp;""),""),IFERROR(TRIM(INDEX($A269:$AB269,MATCH(Lists!$B$3,$A$1:$AB$1,0))&amp;""),""))</f>
        <v/>
      </c>
      <c r="AS269" s="31">
        <f>IF(AR269="","",IF(IFERROR(TRIM(INDEX($A269:$AB269,MATCH(Lists!$B$5,$A$1:$AB$1,0))&amp;""),"")&lt;&gt;"","Nominated","Applied"))</f>
        <v/>
      </c>
      <c r="AT269" s="31">
        <f>IF(AR269="","",IF(IFERROR(TRIM(INDEX($A269:$AB269,MATCH(Lists!$B$5,$A$1:$AB$1,0))&amp;""),"")&lt;&gt;"",IFERROR(TRIM(INDEX($A269:$AB269,MATCH(Lists!$B$6,$A$1:$AB$1,0))&amp;""),""),IFERROR(TRIM(INDEX($A269:$AB269,MATCH(Lists!$B$4,$A$1:$AB$1,0))&amp;""),"")))</f>
        <v/>
      </c>
      <c r="AU269" s="31">
        <f>IF(AR269="","",IFERROR(TRIM(INDEX($A269:$AB269,MATCH(Lists!$B$7,$A$1:$AB$1,0))&amp;""),""))</f>
        <v/>
      </c>
      <c r="AV269" s="31">
        <f>IF(AR269="","",IFERROR(TRIM(INDEX($A269:$AB269,MATCH(Lists!$B$9,$A$1:$AB$1,0))&amp;""),""))</f>
        <v/>
      </c>
      <c r="AW269" s="31">
        <f>IF(AR269="","",IFERROR(TRIM(INDEX($A269:$AB269,MATCH(Lists!$B$8,$A$1:$AB$1,0))&amp;""),""))</f>
        <v/>
      </c>
      <c r="AX269" s="23">
        <f>IF(AR269="","",IF(OR(TRIM(AE269&amp;"")&lt;&gt;"",AND(Skills!$B$5&lt;&gt;"",ISNUMBER(SEARCH(Skills!$B$5,AU269)))),1,0))</f>
        <v/>
      </c>
      <c r="AY269" s="23">
        <f>IF(AR269="","",IF(OR(TRIM(AF269&amp;"")&lt;&gt;"",AND(Skills!$B$6&lt;&gt;"",ISNUMBER(SEARCH(Skills!$B$6,AU269)))),1,0))</f>
        <v/>
      </c>
      <c r="AZ269" s="23">
        <f>IF(AR269="","",IF(OR(TRIM(AG269&amp;"")&lt;&gt;"",AND(Skills!$B$7&lt;&gt;"",ISNUMBER(SEARCH(Skills!$B$7,AU269)))),1,0))</f>
        <v/>
      </c>
      <c r="BA269" s="23">
        <f>IF(AR269="","",IF(OR(TRIM(AH269&amp;"")&lt;&gt;"",AND(Skills!$B$8&lt;&gt;"",ISNUMBER(SEARCH(Skills!$B$8,AU269)))),1,0))</f>
        <v/>
      </c>
      <c r="BB269" s="23">
        <f>IF(AR269="","",IF(OR(TRIM(AI269&amp;"")&lt;&gt;"",AND(Skills!$B$9&lt;&gt;"",ISNUMBER(SEARCH(Skills!$B$9,AU269)))),1,0))</f>
        <v/>
      </c>
      <c r="BC269" s="23">
        <f>IF(AR269="","",IF(OR(TRIM(AJ269&amp;"")&lt;&gt;"",AND(Skills!$B$10&lt;&gt;"",ISNUMBER(SEARCH(Skills!$B$10,AU269)))),1,0))</f>
        <v/>
      </c>
      <c r="BD269" s="23">
        <f>IF(AR269="","",IF(OR(TRIM(AK269&amp;"")&lt;&gt;"",AND(Skills!$B$11&lt;&gt;"",ISNUMBER(SEARCH(Skills!$B$11,AU269)))),1,0))</f>
        <v/>
      </c>
      <c r="BE269" s="23">
        <f>IF(AR269="","",IF(OR(TRIM(AL269&amp;"")&lt;&gt;"",AND(Skills!$B$12&lt;&gt;"",ISNUMBER(SEARCH(Skills!$B$12,AU269)))),1,0))</f>
        <v/>
      </c>
      <c r="BF269" s="23">
        <f>IF(AR269="","",IF(OR(TRIM(AM269&amp;"")&lt;&gt;"",AND(Skills!$B$13&lt;&gt;"",ISNUMBER(SEARCH(Skills!$B$13,AU269)))),1,0))</f>
        <v/>
      </c>
      <c r="BG269" s="23">
        <f>IF(AR269="","",IF(OR(TRIM(AN269&amp;"")&lt;&gt;"",AND(Skills!$B$14&lt;&gt;"",ISNUMBER(SEARCH(Skills!$B$14,AU269)))),1,0))</f>
        <v/>
      </c>
      <c r="BH269" s="23">
        <f>IF(AR269="","",IF(OR(TRIM(AO269&amp;"")&lt;&gt;"",AND(Skills!$B$15&lt;&gt;"",ISNUMBER(SEARCH(Skills!$B$15,AU269)))),1,0))</f>
        <v/>
      </c>
      <c r="BI269" s="23">
        <f>IF(AR269="","",IF(OR(TRIM(AP269&amp;"")&lt;&gt;"",AND(Skills!$B$16&lt;&gt;"",ISNUMBER(SEARCH(Skills!$B$16,AU269)))),1,0))</f>
        <v/>
      </c>
      <c r="BJ269" s="23">
        <f>IF(AR269="","",SUMPRODUCT($AX269:$BI269,Skills!$B$20:$M$20))</f>
        <v/>
      </c>
      <c r="BK269" s="23">
        <f>IF(AR269="","",BJ269*100000+(100000-ROW()))</f>
        <v/>
      </c>
      <c r="BL269" s="31">
        <f>IF(AR269="","",IF((IF(AND(AX269=1,Skills!$B$20=1),Skills!$B$5&amp;", ","")&amp;IF(AND(AY269=1,Skills!$C$20=1),Skills!$B$6&amp;", ","")&amp;IF(AND(AZ269=1,Skills!$D$20=1),Skills!$B$7&amp;", ","")&amp;IF(AND(BA269=1,Skills!$E$20=1),Skills!$B$8&amp;", ","")&amp;IF(AND(BB269=1,Skills!$F$20=1),Skills!$B$9&amp;", ","")&amp;IF(AND(BC269=1,Skills!$G$20=1),Skills!$B$10&amp;", ","")&amp;IF(AND(BD269=1,Skills!$H$20=1),Skills!$B$11&amp;", ","")&amp;IF(AND(BE269=1,Skills!$I$20=1),Skills!$B$12&amp;", ","")&amp;IF(AND(BF269=1,Skills!$J$20=1),Skills!$B$13&amp;", ","")&amp;IF(AND(BG269=1,Skills!$K$20=1),Skills!$B$14&amp;", ","")&amp;IF(AND(BH269=1,Skills!$L$20=1),Skills!$B$15&amp;", ","")&amp;IF(AND(BI269=1,Skills!$M$20=1),Skills!$B$16&amp;", ",""))="","",LEFT(IF(AND(AX269=1,Skills!$B$20=1),Skills!$B$5&amp;", ","")&amp;IF(AND(AY269=1,Skills!$C$20=1),Skills!$B$6&amp;", ","")&amp;IF(AND(AZ269=1,Skills!$D$20=1),Skills!$B$7&amp;", ","")&amp;IF(AND(BA269=1,Skills!$E$20=1),Skills!$B$8&amp;", ","")&amp;IF(AND(BB269=1,Skills!$F$20=1),Skills!$B$9&amp;", ","")&amp;IF(AND(BC269=1,Skills!$G$20=1),Skills!$B$10&amp;", ","")&amp;IF(AND(BD269=1,Skills!$H$20=1),Skills!$B$11&amp;", ","")&amp;IF(AND(BE269=1,Skills!$I$20=1),Skills!$B$12&amp;", ","")&amp;IF(AND(BF269=1,Skills!$J$20=1),Skills!$B$13&amp;", ","")&amp;IF(AND(BG269=1,Skills!$K$20=1),Skills!$B$14&amp;", ","")&amp;IF(AND(BH269=1,Skills!$L$20=1),Skills!$B$15&amp;", ","")&amp;IF(AND(BI269=1,Skills!$M$20=1),Skills!$B$16&amp;", ",""),LEN(IF(AND(AX269=1,Skills!$B$20=1),Skills!$B$5&amp;", ","")&amp;IF(AND(AY269=1,Skills!$C$20=1),Skills!$B$6&amp;", ","")&amp;IF(AND(AZ269=1,Skills!$D$20=1),Skills!$B$7&amp;", ","")&amp;IF(AND(BA269=1,Skills!$E$20=1),Skills!$B$8&amp;", ","")&amp;IF(AND(BB269=1,Skills!$F$20=1),Skills!$B$9&amp;", ","")&amp;IF(AND(BC269=1,Skills!$G$20=1),Skills!$B$10&amp;", ","")&amp;IF(AND(BD269=1,Skills!$H$20=1),Skills!$B$11&amp;", ","")&amp;IF(AND(BE269=1,Skills!$I$20=1),Skills!$B$12&amp;", ","")&amp;IF(AND(BF269=1,Skills!$J$20=1),Skills!$B$13&amp;", ","")&amp;IF(AND(BG269=1,Skills!$K$20=1),Skills!$B$14&amp;", ","")&amp;IF(AND(BH269=1,Skills!$L$20=1),Skills!$B$15&amp;", ","")&amp;IF(AND(BI269=1,Skills!$M$20=1),Skills!$B$16&amp;", ",""))-2)))</f>
        <v/>
      </c>
    </row>
    <row r="270">
      <c r="AD270" s="20" t="n"/>
      <c r="AE270" s="20" t="n"/>
      <c r="AF270" s="20" t="n"/>
      <c r="AG270" s="20" t="n"/>
      <c r="AH270" s="20" t="n"/>
      <c r="AI270" s="20" t="n"/>
      <c r="AJ270" s="20" t="n"/>
      <c r="AK270" s="20" t="n"/>
      <c r="AL270" s="20" t="n"/>
      <c r="AM270" s="20" t="n"/>
      <c r="AN270" s="20" t="n"/>
      <c r="AO270" s="20" t="n"/>
      <c r="AP270" s="20" t="n"/>
      <c r="AR270" s="31">
        <f>IF(IFERROR(TRIM(INDEX($A270:$AB270,MATCH(Lists!$B$5,$A$1:$AB$1,0))&amp;""),"")&lt;&gt;"",IFERROR(TRIM(INDEX($A270:$AB270,MATCH(Lists!$B$5,$A$1:$AB$1,0))&amp;""),""),IFERROR(TRIM(INDEX($A270:$AB270,MATCH(Lists!$B$3,$A$1:$AB$1,0))&amp;""),""))</f>
        <v/>
      </c>
      <c r="AS270" s="31">
        <f>IF(AR270="","",IF(IFERROR(TRIM(INDEX($A270:$AB270,MATCH(Lists!$B$5,$A$1:$AB$1,0))&amp;""),"")&lt;&gt;"","Nominated","Applied"))</f>
        <v/>
      </c>
      <c r="AT270" s="31">
        <f>IF(AR270="","",IF(IFERROR(TRIM(INDEX($A270:$AB270,MATCH(Lists!$B$5,$A$1:$AB$1,0))&amp;""),"")&lt;&gt;"",IFERROR(TRIM(INDEX($A270:$AB270,MATCH(Lists!$B$6,$A$1:$AB$1,0))&amp;""),""),IFERROR(TRIM(INDEX($A270:$AB270,MATCH(Lists!$B$4,$A$1:$AB$1,0))&amp;""),"")))</f>
        <v/>
      </c>
      <c r="AU270" s="31">
        <f>IF(AR270="","",IFERROR(TRIM(INDEX($A270:$AB270,MATCH(Lists!$B$7,$A$1:$AB$1,0))&amp;""),""))</f>
        <v/>
      </c>
      <c r="AV270" s="31">
        <f>IF(AR270="","",IFERROR(TRIM(INDEX($A270:$AB270,MATCH(Lists!$B$9,$A$1:$AB$1,0))&amp;""),""))</f>
        <v/>
      </c>
      <c r="AW270" s="31">
        <f>IF(AR270="","",IFERROR(TRIM(INDEX($A270:$AB270,MATCH(Lists!$B$8,$A$1:$AB$1,0))&amp;""),""))</f>
        <v/>
      </c>
      <c r="AX270" s="23">
        <f>IF(AR270="","",IF(OR(TRIM(AE270&amp;"")&lt;&gt;"",AND(Skills!$B$5&lt;&gt;"",ISNUMBER(SEARCH(Skills!$B$5,AU270)))),1,0))</f>
        <v/>
      </c>
      <c r="AY270" s="23">
        <f>IF(AR270="","",IF(OR(TRIM(AF270&amp;"")&lt;&gt;"",AND(Skills!$B$6&lt;&gt;"",ISNUMBER(SEARCH(Skills!$B$6,AU270)))),1,0))</f>
        <v/>
      </c>
      <c r="AZ270" s="23">
        <f>IF(AR270="","",IF(OR(TRIM(AG270&amp;"")&lt;&gt;"",AND(Skills!$B$7&lt;&gt;"",ISNUMBER(SEARCH(Skills!$B$7,AU270)))),1,0))</f>
        <v/>
      </c>
      <c r="BA270" s="23">
        <f>IF(AR270="","",IF(OR(TRIM(AH270&amp;"")&lt;&gt;"",AND(Skills!$B$8&lt;&gt;"",ISNUMBER(SEARCH(Skills!$B$8,AU270)))),1,0))</f>
        <v/>
      </c>
      <c r="BB270" s="23">
        <f>IF(AR270="","",IF(OR(TRIM(AI270&amp;"")&lt;&gt;"",AND(Skills!$B$9&lt;&gt;"",ISNUMBER(SEARCH(Skills!$B$9,AU270)))),1,0))</f>
        <v/>
      </c>
      <c r="BC270" s="23">
        <f>IF(AR270="","",IF(OR(TRIM(AJ270&amp;"")&lt;&gt;"",AND(Skills!$B$10&lt;&gt;"",ISNUMBER(SEARCH(Skills!$B$10,AU270)))),1,0))</f>
        <v/>
      </c>
      <c r="BD270" s="23">
        <f>IF(AR270="","",IF(OR(TRIM(AK270&amp;"")&lt;&gt;"",AND(Skills!$B$11&lt;&gt;"",ISNUMBER(SEARCH(Skills!$B$11,AU270)))),1,0))</f>
        <v/>
      </c>
      <c r="BE270" s="23">
        <f>IF(AR270="","",IF(OR(TRIM(AL270&amp;"")&lt;&gt;"",AND(Skills!$B$12&lt;&gt;"",ISNUMBER(SEARCH(Skills!$B$12,AU270)))),1,0))</f>
        <v/>
      </c>
      <c r="BF270" s="23">
        <f>IF(AR270="","",IF(OR(TRIM(AM270&amp;"")&lt;&gt;"",AND(Skills!$B$13&lt;&gt;"",ISNUMBER(SEARCH(Skills!$B$13,AU270)))),1,0))</f>
        <v/>
      </c>
      <c r="BG270" s="23">
        <f>IF(AR270="","",IF(OR(TRIM(AN270&amp;"")&lt;&gt;"",AND(Skills!$B$14&lt;&gt;"",ISNUMBER(SEARCH(Skills!$B$14,AU270)))),1,0))</f>
        <v/>
      </c>
      <c r="BH270" s="23">
        <f>IF(AR270="","",IF(OR(TRIM(AO270&amp;"")&lt;&gt;"",AND(Skills!$B$15&lt;&gt;"",ISNUMBER(SEARCH(Skills!$B$15,AU270)))),1,0))</f>
        <v/>
      </c>
      <c r="BI270" s="23">
        <f>IF(AR270="","",IF(OR(TRIM(AP270&amp;"")&lt;&gt;"",AND(Skills!$B$16&lt;&gt;"",ISNUMBER(SEARCH(Skills!$B$16,AU270)))),1,0))</f>
        <v/>
      </c>
      <c r="BJ270" s="23">
        <f>IF(AR270="","",SUMPRODUCT($AX270:$BI270,Skills!$B$20:$M$20))</f>
        <v/>
      </c>
      <c r="BK270" s="23">
        <f>IF(AR270="","",BJ270*100000+(100000-ROW()))</f>
        <v/>
      </c>
      <c r="BL270" s="31">
        <f>IF(AR270="","",IF((IF(AND(AX270=1,Skills!$B$20=1),Skills!$B$5&amp;", ","")&amp;IF(AND(AY270=1,Skills!$C$20=1),Skills!$B$6&amp;", ","")&amp;IF(AND(AZ270=1,Skills!$D$20=1),Skills!$B$7&amp;", ","")&amp;IF(AND(BA270=1,Skills!$E$20=1),Skills!$B$8&amp;", ","")&amp;IF(AND(BB270=1,Skills!$F$20=1),Skills!$B$9&amp;", ","")&amp;IF(AND(BC270=1,Skills!$G$20=1),Skills!$B$10&amp;", ","")&amp;IF(AND(BD270=1,Skills!$H$20=1),Skills!$B$11&amp;", ","")&amp;IF(AND(BE270=1,Skills!$I$20=1),Skills!$B$12&amp;", ","")&amp;IF(AND(BF270=1,Skills!$J$20=1),Skills!$B$13&amp;", ","")&amp;IF(AND(BG270=1,Skills!$K$20=1),Skills!$B$14&amp;", ","")&amp;IF(AND(BH270=1,Skills!$L$20=1),Skills!$B$15&amp;", ","")&amp;IF(AND(BI270=1,Skills!$M$20=1),Skills!$B$16&amp;", ",""))="","",LEFT(IF(AND(AX270=1,Skills!$B$20=1),Skills!$B$5&amp;", ","")&amp;IF(AND(AY270=1,Skills!$C$20=1),Skills!$B$6&amp;", ","")&amp;IF(AND(AZ270=1,Skills!$D$20=1),Skills!$B$7&amp;", ","")&amp;IF(AND(BA270=1,Skills!$E$20=1),Skills!$B$8&amp;", ","")&amp;IF(AND(BB270=1,Skills!$F$20=1),Skills!$B$9&amp;", ","")&amp;IF(AND(BC270=1,Skills!$G$20=1),Skills!$B$10&amp;", ","")&amp;IF(AND(BD270=1,Skills!$H$20=1),Skills!$B$11&amp;", ","")&amp;IF(AND(BE270=1,Skills!$I$20=1),Skills!$B$12&amp;", ","")&amp;IF(AND(BF270=1,Skills!$J$20=1),Skills!$B$13&amp;", ","")&amp;IF(AND(BG270=1,Skills!$K$20=1),Skills!$B$14&amp;", ","")&amp;IF(AND(BH270=1,Skills!$L$20=1),Skills!$B$15&amp;", ","")&amp;IF(AND(BI270=1,Skills!$M$20=1),Skills!$B$16&amp;", ",""),LEN(IF(AND(AX270=1,Skills!$B$20=1),Skills!$B$5&amp;", ","")&amp;IF(AND(AY270=1,Skills!$C$20=1),Skills!$B$6&amp;", ","")&amp;IF(AND(AZ270=1,Skills!$D$20=1),Skills!$B$7&amp;", ","")&amp;IF(AND(BA270=1,Skills!$E$20=1),Skills!$B$8&amp;", ","")&amp;IF(AND(BB270=1,Skills!$F$20=1),Skills!$B$9&amp;", ","")&amp;IF(AND(BC270=1,Skills!$G$20=1),Skills!$B$10&amp;", ","")&amp;IF(AND(BD270=1,Skills!$H$20=1),Skills!$B$11&amp;", ","")&amp;IF(AND(BE270=1,Skills!$I$20=1),Skills!$B$12&amp;", ","")&amp;IF(AND(BF270=1,Skills!$J$20=1),Skills!$B$13&amp;", ","")&amp;IF(AND(BG270=1,Skills!$K$20=1),Skills!$B$14&amp;", ","")&amp;IF(AND(BH270=1,Skills!$L$20=1),Skills!$B$15&amp;", ","")&amp;IF(AND(BI270=1,Skills!$M$20=1),Skills!$B$16&amp;", ",""))-2)))</f>
        <v/>
      </c>
    </row>
    <row r="271">
      <c r="AD271" s="20" t="n"/>
      <c r="AE271" s="20" t="n"/>
      <c r="AF271" s="20" t="n"/>
      <c r="AG271" s="20" t="n"/>
      <c r="AH271" s="20" t="n"/>
      <c r="AI271" s="20" t="n"/>
      <c r="AJ271" s="20" t="n"/>
      <c r="AK271" s="20" t="n"/>
      <c r="AL271" s="20" t="n"/>
      <c r="AM271" s="20" t="n"/>
      <c r="AN271" s="20" t="n"/>
      <c r="AO271" s="20" t="n"/>
      <c r="AP271" s="20" t="n"/>
      <c r="AR271" s="31">
        <f>IF(IFERROR(TRIM(INDEX($A271:$AB271,MATCH(Lists!$B$5,$A$1:$AB$1,0))&amp;""),"")&lt;&gt;"",IFERROR(TRIM(INDEX($A271:$AB271,MATCH(Lists!$B$5,$A$1:$AB$1,0))&amp;""),""),IFERROR(TRIM(INDEX($A271:$AB271,MATCH(Lists!$B$3,$A$1:$AB$1,0))&amp;""),""))</f>
        <v/>
      </c>
      <c r="AS271" s="31">
        <f>IF(AR271="","",IF(IFERROR(TRIM(INDEX($A271:$AB271,MATCH(Lists!$B$5,$A$1:$AB$1,0))&amp;""),"")&lt;&gt;"","Nominated","Applied"))</f>
        <v/>
      </c>
      <c r="AT271" s="31">
        <f>IF(AR271="","",IF(IFERROR(TRIM(INDEX($A271:$AB271,MATCH(Lists!$B$5,$A$1:$AB$1,0))&amp;""),"")&lt;&gt;"",IFERROR(TRIM(INDEX($A271:$AB271,MATCH(Lists!$B$6,$A$1:$AB$1,0))&amp;""),""),IFERROR(TRIM(INDEX($A271:$AB271,MATCH(Lists!$B$4,$A$1:$AB$1,0))&amp;""),"")))</f>
        <v/>
      </c>
      <c r="AU271" s="31">
        <f>IF(AR271="","",IFERROR(TRIM(INDEX($A271:$AB271,MATCH(Lists!$B$7,$A$1:$AB$1,0))&amp;""),""))</f>
        <v/>
      </c>
      <c r="AV271" s="31">
        <f>IF(AR271="","",IFERROR(TRIM(INDEX($A271:$AB271,MATCH(Lists!$B$9,$A$1:$AB$1,0))&amp;""),""))</f>
        <v/>
      </c>
      <c r="AW271" s="31">
        <f>IF(AR271="","",IFERROR(TRIM(INDEX($A271:$AB271,MATCH(Lists!$B$8,$A$1:$AB$1,0))&amp;""),""))</f>
        <v/>
      </c>
      <c r="AX271" s="23">
        <f>IF(AR271="","",IF(OR(TRIM(AE271&amp;"")&lt;&gt;"",AND(Skills!$B$5&lt;&gt;"",ISNUMBER(SEARCH(Skills!$B$5,AU271)))),1,0))</f>
        <v/>
      </c>
      <c r="AY271" s="23">
        <f>IF(AR271="","",IF(OR(TRIM(AF271&amp;"")&lt;&gt;"",AND(Skills!$B$6&lt;&gt;"",ISNUMBER(SEARCH(Skills!$B$6,AU271)))),1,0))</f>
        <v/>
      </c>
      <c r="AZ271" s="23">
        <f>IF(AR271="","",IF(OR(TRIM(AG271&amp;"")&lt;&gt;"",AND(Skills!$B$7&lt;&gt;"",ISNUMBER(SEARCH(Skills!$B$7,AU271)))),1,0))</f>
        <v/>
      </c>
      <c r="BA271" s="23">
        <f>IF(AR271="","",IF(OR(TRIM(AH271&amp;"")&lt;&gt;"",AND(Skills!$B$8&lt;&gt;"",ISNUMBER(SEARCH(Skills!$B$8,AU271)))),1,0))</f>
        <v/>
      </c>
      <c r="BB271" s="23">
        <f>IF(AR271="","",IF(OR(TRIM(AI271&amp;"")&lt;&gt;"",AND(Skills!$B$9&lt;&gt;"",ISNUMBER(SEARCH(Skills!$B$9,AU271)))),1,0))</f>
        <v/>
      </c>
      <c r="BC271" s="23">
        <f>IF(AR271="","",IF(OR(TRIM(AJ271&amp;"")&lt;&gt;"",AND(Skills!$B$10&lt;&gt;"",ISNUMBER(SEARCH(Skills!$B$10,AU271)))),1,0))</f>
        <v/>
      </c>
      <c r="BD271" s="23">
        <f>IF(AR271="","",IF(OR(TRIM(AK271&amp;"")&lt;&gt;"",AND(Skills!$B$11&lt;&gt;"",ISNUMBER(SEARCH(Skills!$B$11,AU271)))),1,0))</f>
        <v/>
      </c>
      <c r="BE271" s="23">
        <f>IF(AR271="","",IF(OR(TRIM(AL271&amp;"")&lt;&gt;"",AND(Skills!$B$12&lt;&gt;"",ISNUMBER(SEARCH(Skills!$B$12,AU271)))),1,0))</f>
        <v/>
      </c>
      <c r="BF271" s="23">
        <f>IF(AR271="","",IF(OR(TRIM(AM271&amp;"")&lt;&gt;"",AND(Skills!$B$13&lt;&gt;"",ISNUMBER(SEARCH(Skills!$B$13,AU271)))),1,0))</f>
        <v/>
      </c>
      <c r="BG271" s="23">
        <f>IF(AR271="","",IF(OR(TRIM(AN271&amp;"")&lt;&gt;"",AND(Skills!$B$14&lt;&gt;"",ISNUMBER(SEARCH(Skills!$B$14,AU271)))),1,0))</f>
        <v/>
      </c>
      <c r="BH271" s="23">
        <f>IF(AR271="","",IF(OR(TRIM(AO271&amp;"")&lt;&gt;"",AND(Skills!$B$15&lt;&gt;"",ISNUMBER(SEARCH(Skills!$B$15,AU271)))),1,0))</f>
        <v/>
      </c>
      <c r="BI271" s="23">
        <f>IF(AR271="","",IF(OR(TRIM(AP271&amp;"")&lt;&gt;"",AND(Skills!$B$16&lt;&gt;"",ISNUMBER(SEARCH(Skills!$B$16,AU271)))),1,0))</f>
        <v/>
      </c>
      <c r="BJ271" s="23">
        <f>IF(AR271="","",SUMPRODUCT($AX271:$BI271,Skills!$B$20:$M$20))</f>
        <v/>
      </c>
      <c r="BK271" s="23">
        <f>IF(AR271="","",BJ271*100000+(100000-ROW()))</f>
        <v/>
      </c>
      <c r="BL271" s="31">
        <f>IF(AR271="","",IF((IF(AND(AX271=1,Skills!$B$20=1),Skills!$B$5&amp;", ","")&amp;IF(AND(AY271=1,Skills!$C$20=1),Skills!$B$6&amp;", ","")&amp;IF(AND(AZ271=1,Skills!$D$20=1),Skills!$B$7&amp;", ","")&amp;IF(AND(BA271=1,Skills!$E$20=1),Skills!$B$8&amp;", ","")&amp;IF(AND(BB271=1,Skills!$F$20=1),Skills!$B$9&amp;", ","")&amp;IF(AND(BC271=1,Skills!$G$20=1),Skills!$B$10&amp;", ","")&amp;IF(AND(BD271=1,Skills!$H$20=1),Skills!$B$11&amp;", ","")&amp;IF(AND(BE271=1,Skills!$I$20=1),Skills!$B$12&amp;", ","")&amp;IF(AND(BF271=1,Skills!$J$20=1),Skills!$B$13&amp;", ","")&amp;IF(AND(BG271=1,Skills!$K$20=1),Skills!$B$14&amp;", ","")&amp;IF(AND(BH271=1,Skills!$L$20=1),Skills!$B$15&amp;", ","")&amp;IF(AND(BI271=1,Skills!$M$20=1),Skills!$B$16&amp;", ",""))="","",LEFT(IF(AND(AX271=1,Skills!$B$20=1),Skills!$B$5&amp;", ","")&amp;IF(AND(AY271=1,Skills!$C$20=1),Skills!$B$6&amp;", ","")&amp;IF(AND(AZ271=1,Skills!$D$20=1),Skills!$B$7&amp;", ","")&amp;IF(AND(BA271=1,Skills!$E$20=1),Skills!$B$8&amp;", ","")&amp;IF(AND(BB271=1,Skills!$F$20=1),Skills!$B$9&amp;", ","")&amp;IF(AND(BC271=1,Skills!$G$20=1),Skills!$B$10&amp;", ","")&amp;IF(AND(BD271=1,Skills!$H$20=1),Skills!$B$11&amp;", ","")&amp;IF(AND(BE271=1,Skills!$I$20=1),Skills!$B$12&amp;", ","")&amp;IF(AND(BF271=1,Skills!$J$20=1),Skills!$B$13&amp;", ","")&amp;IF(AND(BG271=1,Skills!$K$20=1),Skills!$B$14&amp;", ","")&amp;IF(AND(BH271=1,Skills!$L$20=1),Skills!$B$15&amp;", ","")&amp;IF(AND(BI271=1,Skills!$M$20=1),Skills!$B$16&amp;", ",""),LEN(IF(AND(AX271=1,Skills!$B$20=1),Skills!$B$5&amp;", ","")&amp;IF(AND(AY271=1,Skills!$C$20=1),Skills!$B$6&amp;", ","")&amp;IF(AND(AZ271=1,Skills!$D$20=1),Skills!$B$7&amp;", ","")&amp;IF(AND(BA271=1,Skills!$E$20=1),Skills!$B$8&amp;", ","")&amp;IF(AND(BB271=1,Skills!$F$20=1),Skills!$B$9&amp;", ","")&amp;IF(AND(BC271=1,Skills!$G$20=1),Skills!$B$10&amp;", ","")&amp;IF(AND(BD271=1,Skills!$H$20=1),Skills!$B$11&amp;", ","")&amp;IF(AND(BE271=1,Skills!$I$20=1),Skills!$B$12&amp;", ","")&amp;IF(AND(BF271=1,Skills!$J$20=1),Skills!$B$13&amp;", ","")&amp;IF(AND(BG271=1,Skills!$K$20=1),Skills!$B$14&amp;", ","")&amp;IF(AND(BH271=1,Skills!$L$20=1),Skills!$B$15&amp;", ","")&amp;IF(AND(BI271=1,Skills!$M$20=1),Skills!$B$16&amp;", ",""))-2)))</f>
        <v/>
      </c>
    </row>
    <row r="272">
      <c r="AD272" s="20" t="n"/>
      <c r="AE272" s="20" t="n"/>
      <c r="AF272" s="20" t="n"/>
      <c r="AG272" s="20" t="n"/>
      <c r="AH272" s="20" t="n"/>
      <c r="AI272" s="20" t="n"/>
      <c r="AJ272" s="20" t="n"/>
      <c r="AK272" s="20" t="n"/>
      <c r="AL272" s="20" t="n"/>
      <c r="AM272" s="20" t="n"/>
      <c r="AN272" s="20" t="n"/>
      <c r="AO272" s="20" t="n"/>
      <c r="AP272" s="20" t="n"/>
      <c r="AR272" s="31">
        <f>IF(IFERROR(TRIM(INDEX($A272:$AB272,MATCH(Lists!$B$5,$A$1:$AB$1,0))&amp;""),"")&lt;&gt;"",IFERROR(TRIM(INDEX($A272:$AB272,MATCH(Lists!$B$5,$A$1:$AB$1,0))&amp;""),""),IFERROR(TRIM(INDEX($A272:$AB272,MATCH(Lists!$B$3,$A$1:$AB$1,0))&amp;""),""))</f>
        <v/>
      </c>
      <c r="AS272" s="31">
        <f>IF(AR272="","",IF(IFERROR(TRIM(INDEX($A272:$AB272,MATCH(Lists!$B$5,$A$1:$AB$1,0))&amp;""),"")&lt;&gt;"","Nominated","Applied"))</f>
        <v/>
      </c>
      <c r="AT272" s="31">
        <f>IF(AR272="","",IF(IFERROR(TRIM(INDEX($A272:$AB272,MATCH(Lists!$B$5,$A$1:$AB$1,0))&amp;""),"")&lt;&gt;"",IFERROR(TRIM(INDEX($A272:$AB272,MATCH(Lists!$B$6,$A$1:$AB$1,0))&amp;""),""),IFERROR(TRIM(INDEX($A272:$AB272,MATCH(Lists!$B$4,$A$1:$AB$1,0))&amp;""),"")))</f>
        <v/>
      </c>
      <c r="AU272" s="31">
        <f>IF(AR272="","",IFERROR(TRIM(INDEX($A272:$AB272,MATCH(Lists!$B$7,$A$1:$AB$1,0))&amp;""),""))</f>
        <v/>
      </c>
      <c r="AV272" s="31">
        <f>IF(AR272="","",IFERROR(TRIM(INDEX($A272:$AB272,MATCH(Lists!$B$9,$A$1:$AB$1,0))&amp;""),""))</f>
        <v/>
      </c>
      <c r="AW272" s="31">
        <f>IF(AR272="","",IFERROR(TRIM(INDEX($A272:$AB272,MATCH(Lists!$B$8,$A$1:$AB$1,0))&amp;""),""))</f>
        <v/>
      </c>
      <c r="AX272" s="23">
        <f>IF(AR272="","",IF(OR(TRIM(AE272&amp;"")&lt;&gt;"",AND(Skills!$B$5&lt;&gt;"",ISNUMBER(SEARCH(Skills!$B$5,AU272)))),1,0))</f>
        <v/>
      </c>
      <c r="AY272" s="23">
        <f>IF(AR272="","",IF(OR(TRIM(AF272&amp;"")&lt;&gt;"",AND(Skills!$B$6&lt;&gt;"",ISNUMBER(SEARCH(Skills!$B$6,AU272)))),1,0))</f>
        <v/>
      </c>
      <c r="AZ272" s="23">
        <f>IF(AR272="","",IF(OR(TRIM(AG272&amp;"")&lt;&gt;"",AND(Skills!$B$7&lt;&gt;"",ISNUMBER(SEARCH(Skills!$B$7,AU272)))),1,0))</f>
        <v/>
      </c>
      <c r="BA272" s="23">
        <f>IF(AR272="","",IF(OR(TRIM(AH272&amp;"")&lt;&gt;"",AND(Skills!$B$8&lt;&gt;"",ISNUMBER(SEARCH(Skills!$B$8,AU272)))),1,0))</f>
        <v/>
      </c>
      <c r="BB272" s="23">
        <f>IF(AR272="","",IF(OR(TRIM(AI272&amp;"")&lt;&gt;"",AND(Skills!$B$9&lt;&gt;"",ISNUMBER(SEARCH(Skills!$B$9,AU272)))),1,0))</f>
        <v/>
      </c>
      <c r="BC272" s="23">
        <f>IF(AR272="","",IF(OR(TRIM(AJ272&amp;"")&lt;&gt;"",AND(Skills!$B$10&lt;&gt;"",ISNUMBER(SEARCH(Skills!$B$10,AU272)))),1,0))</f>
        <v/>
      </c>
      <c r="BD272" s="23">
        <f>IF(AR272="","",IF(OR(TRIM(AK272&amp;"")&lt;&gt;"",AND(Skills!$B$11&lt;&gt;"",ISNUMBER(SEARCH(Skills!$B$11,AU272)))),1,0))</f>
        <v/>
      </c>
      <c r="BE272" s="23">
        <f>IF(AR272="","",IF(OR(TRIM(AL272&amp;"")&lt;&gt;"",AND(Skills!$B$12&lt;&gt;"",ISNUMBER(SEARCH(Skills!$B$12,AU272)))),1,0))</f>
        <v/>
      </c>
      <c r="BF272" s="23">
        <f>IF(AR272="","",IF(OR(TRIM(AM272&amp;"")&lt;&gt;"",AND(Skills!$B$13&lt;&gt;"",ISNUMBER(SEARCH(Skills!$B$13,AU272)))),1,0))</f>
        <v/>
      </c>
      <c r="BG272" s="23">
        <f>IF(AR272="","",IF(OR(TRIM(AN272&amp;"")&lt;&gt;"",AND(Skills!$B$14&lt;&gt;"",ISNUMBER(SEARCH(Skills!$B$14,AU272)))),1,0))</f>
        <v/>
      </c>
      <c r="BH272" s="23">
        <f>IF(AR272="","",IF(OR(TRIM(AO272&amp;"")&lt;&gt;"",AND(Skills!$B$15&lt;&gt;"",ISNUMBER(SEARCH(Skills!$B$15,AU272)))),1,0))</f>
        <v/>
      </c>
      <c r="BI272" s="23">
        <f>IF(AR272="","",IF(OR(TRIM(AP272&amp;"")&lt;&gt;"",AND(Skills!$B$16&lt;&gt;"",ISNUMBER(SEARCH(Skills!$B$16,AU272)))),1,0))</f>
        <v/>
      </c>
      <c r="BJ272" s="23">
        <f>IF(AR272="","",SUMPRODUCT($AX272:$BI272,Skills!$B$20:$M$20))</f>
        <v/>
      </c>
      <c r="BK272" s="23">
        <f>IF(AR272="","",BJ272*100000+(100000-ROW()))</f>
        <v/>
      </c>
      <c r="BL272" s="31">
        <f>IF(AR272="","",IF((IF(AND(AX272=1,Skills!$B$20=1),Skills!$B$5&amp;", ","")&amp;IF(AND(AY272=1,Skills!$C$20=1),Skills!$B$6&amp;", ","")&amp;IF(AND(AZ272=1,Skills!$D$20=1),Skills!$B$7&amp;", ","")&amp;IF(AND(BA272=1,Skills!$E$20=1),Skills!$B$8&amp;", ","")&amp;IF(AND(BB272=1,Skills!$F$20=1),Skills!$B$9&amp;", ","")&amp;IF(AND(BC272=1,Skills!$G$20=1),Skills!$B$10&amp;", ","")&amp;IF(AND(BD272=1,Skills!$H$20=1),Skills!$B$11&amp;", ","")&amp;IF(AND(BE272=1,Skills!$I$20=1),Skills!$B$12&amp;", ","")&amp;IF(AND(BF272=1,Skills!$J$20=1),Skills!$B$13&amp;", ","")&amp;IF(AND(BG272=1,Skills!$K$20=1),Skills!$B$14&amp;", ","")&amp;IF(AND(BH272=1,Skills!$L$20=1),Skills!$B$15&amp;", ","")&amp;IF(AND(BI272=1,Skills!$M$20=1),Skills!$B$16&amp;", ",""))="","",LEFT(IF(AND(AX272=1,Skills!$B$20=1),Skills!$B$5&amp;", ","")&amp;IF(AND(AY272=1,Skills!$C$20=1),Skills!$B$6&amp;", ","")&amp;IF(AND(AZ272=1,Skills!$D$20=1),Skills!$B$7&amp;", ","")&amp;IF(AND(BA272=1,Skills!$E$20=1),Skills!$B$8&amp;", ","")&amp;IF(AND(BB272=1,Skills!$F$20=1),Skills!$B$9&amp;", ","")&amp;IF(AND(BC272=1,Skills!$G$20=1),Skills!$B$10&amp;", ","")&amp;IF(AND(BD272=1,Skills!$H$20=1),Skills!$B$11&amp;", ","")&amp;IF(AND(BE272=1,Skills!$I$20=1),Skills!$B$12&amp;", ","")&amp;IF(AND(BF272=1,Skills!$J$20=1),Skills!$B$13&amp;", ","")&amp;IF(AND(BG272=1,Skills!$K$20=1),Skills!$B$14&amp;", ","")&amp;IF(AND(BH272=1,Skills!$L$20=1),Skills!$B$15&amp;", ","")&amp;IF(AND(BI272=1,Skills!$M$20=1),Skills!$B$16&amp;", ",""),LEN(IF(AND(AX272=1,Skills!$B$20=1),Skills!$B$5&amp;", ","")&amp;IF(AND(AY272=1,Skills!$C$20=1),Skills!$B$6&amp;", ","")&amp;IF(AND(AZ272=1,Skills!$D$20=1),Skills!$B$7&amp;", ","")&amp;IF(AND(BA272=1,Skills!$E$20=1),Skills!$B$8&amp;", ","")&amp;IF(AND(BB272=1,Skills!$F$20=1),Skills!$B$9&amp;", ","")&amp;IF(AND(BC272=1,Skills!$G$20=1),Skills!$B$10&amp;", ","")&amp;IF(AND(BD272=1,Skills!$H$20=1),Skills!$B$11&amp;", ","")&amp;IF(AND(BE272=1,Skills!$I$20=1),Skills!$B$12&amp;", ","")&amp;IF(AND(BF272=1,Skills!$J$20=1),Skills!$B$13&amp;", ","")&amp;IF(AND(BG272=1,Skills!$K$20=1),Skills!$B$14&amp;", ","")&amp;IF(AND(BH272=1,Skills!$L$20=1),Skills!$B$15&amp;", ","")&amp;IF(AND(BI272=1,Skills!$M$20=1),Skills!$B$16&amp;", ",""))-2)))</f>
        <v/>
      </c>
    </row>
    <row r="273">
      <c r="AD273" s="20" t="n"/>
      <c r="AE273" s="20" t="n"/>
      <c r="AF273" s="20" t="n"/>
      <c r="AG273" s="20" t="n"/>
      <c r="AH273" s="20" t="n"/>
      <c r="AI273" s="20" t="n"/>
      <c r="AJ273" s="20" t="n"/>
      <c r="AK273" s="20" t="n"/>
      <c r="AL273" s="20" t="n"/>
      <c r="AM273" s="20" t="n"/>
      <c r="AN273" s="20" t="n"/>
      <c r="AO273" s="20" t="n"/>
      <c r="AP273" s="20" t="n"/>
      <c r="AR273" s="31">
        <f>IF(IFERROR(TRIM(INDEX($A273:$AB273,MATCH(Lists!$B$5,$A$1:$AB$1,0))&amp;""),"")&lt;&gt;"",IFERROR(TRIM(INDEX($A273:$AB273,MATCH(Lists!$B$5,$A$1:$AB$1,0))&amp;""),""),IFERROR(TRIM(INDEX($A273:$AB273,MATCH(Lists!$B$3,$A$1:$AB$1,0))&amp;""),""))</f>
        <v/>
      </c>
      <c r="AS273" s="31">
        <f>IF(AR273="","",IF(IFERROR(TRIM(INDEX($A273:$AB273,MATCH(Lists!$B$5,$A$1:$AB$1,0))&amp;""),"")&lt;&gt;"","Nominated","Applied"))</f>
        <v/>
      </c>
      <c r="AT273" s="31">
        <f>IF(AR273="","",IF(IFERROR(TRIM(INDEX($A273:$AB273,MATCH(Lists!$B$5,$A$1:$AB$1,0))&amp;""),"")&lt;&gt;"",IFERROR(TRIM(INDEX($A273:$AB273,MATCH(Lists!$B$6,$A$1:$AB$1,0))&amp;""),""),IFERROR(TRIM(INDEX($A273:$AB273,MATCH(Lists!$B$4,$A$1:$AB$1,0))&amp;""),"")))</f>
        <v/>
      </c>
      <c r="AU273" s="31">
        <f>IF(AR273="","",IFERROR(TRIM(INDEX($A273:$AB273,MATCH(Lists!$B$7,$A$1:$AB$1,0))&amp;""),""))</f>
        <v/>
      </c>
      <c r="AV273" s="31">
        <f>IF(AR273="","",IFERROR(TRIM(INDEX($A273:$AB273,MATCH(Lists!$B$9,$A$1:$AB$1,0))&amp;""),""))</f>
        <v/>
      </c>
      <c r="AW273" s="31">
        <f>IF(AR273="","",IFERROR(TRIM(INDEX($A273:$AB273,MATCH(Lists!$B$8,$A$1:$AB$1,0))&amp;""),""))</f>
        <v/>
      </c>
      <c r="AX273" s="23">
        <f>IF(AR273="","",IF(OR(TRIM(AE273&amp;"")&lt;&gt;"",AND(Skills!$B$5&lt;&gt;"",ISNUMBER(SEARCH(Skills!$B$5,AU273)))),1,0))</f>
        <v/>
      </c>
      <c r="AY273" s="23">
        <f>IF(AR273="","",IF(OR(TRIM(AF273&amp;"")&lt;&gt;"",AND(Skills!$B$6&lt;&gt;"",ISNUMBER(SEARCH(Skills!$B$6,AU273)))),1,0))</f>
        <v/>
      </c>
      <c r="AZ273" s="23">
        <f>IF(AR273="","",IF(OR(TRIM(AG273&amp;"")&lt;&gt;"",AND(Skills!$B$7&lt;&gt;"",ISNUMBER(SEARCH(Skills!$B$7,AU273)))),1,0))</f>
        <v/>
      </c>
      <c r="BA273" s="23">
        <f>IF(AR273="","",IF(OR(TRIM(AH273&amp;"")&lt;&gt;"",AND(Skills!$B$8&lt;&gt;"",ISNUMBER(SEARCH(Skills!$B$8,AU273)))),1,0))</f>
        <v/>
      </c>
      <c r="BB273" s="23">
        <f>IF(AR273="","",IF(OR(TRIM(AI273&amp;"")&lt;&gt;"",AND(Skills!$B$9&lt;&gt;"",ISNUMBER(SEARCH(Skills!$B$9,AU273)))),1,0))</f>
        <v/>
      </c>
      <c r="BC273" s="23">
        <f>IF(AR273="","",IF(OR(TRIM(AJ273&amp;"")&lt;&gt;"",AND(Skills!$B$10&lt;&gt;"",ISNUMBER(SEARCH(Skills!$B$10,AU273)))),1,0))</f>
        <v/>
      </c>
      <c r="BD273" s="23">
        <f>IF(AR273="","",IF(OR(TRIM(AK273&amp;"")&lt;&gt;"",AND(Skills!$B$11&lt;&gt;"",ISNUMBER(SEARCH(Skills!$B$11,AU273)))),1,0))</f>
        <v/>
      </c>
      <c r="BE273" s="23">
        <f>IF(AR273="","",IF(OR(TRIM(AL273&amp;"")&lt;&gt;"",AND(Skills!$B$12&lt;&gt;"",ISNUMBER(SEARCH(Skills!$B$12,AU273)))),1,0))</f>
        <v/>
      </c>
      <c r="BF273" s="23">
        <f>IF(AR273="","",IF(OR(TRIM(AM273&amp;"")&lt;&gt;"",AND(Skills!$B$13&lt;&gt;"",ISNUMBER(SEARCH(Skills!$B$13,AU273)))),1,0))</f>
        <v/>
      </c>
      <c r="BG273" s="23">
        <f>IF(AR273="","",IF(OR(TRIM(AN273&amp;"")&lt;&gt;"",AND(Skills!$B$14&lt;&gt;"",ISNUMBER(SEARCH(Skills!$B$14,AU273)))),1,0))</f>
        <v/>
      </c>
      <c r="BH273" s="23">
        <f>IF(AR273="","",IF(OR(TRIM(AO273&amp;"")&lt;&gt;"",AND(Skills!$B$15&lt;&gt;"",ISNUMBER(SEARCH(Skills!$B$15,AU273)))),1,0))</f>
        <v/>
      </c>
      <c r="BI273" s="23">
        <f>IF(AR273="","",IF(OR(TRIM(AP273&amp;"")&lt;&gt;"",AND(Skills!$B$16&lt;&gt;"",ISNUMBER(SEARCH(Skills!$B$16,AU273)))),1,0))</f>
        <v/>
      </c>
      <c r="BJ273" s="23">
        <f>IF(AR273="","",SUMPRODUCT($AX273:$BI273,Skills!$B$20:$M$20))</f>
        <v/>
      </c>
      <c r="BK273" s="23">
        <f>IF(AR273="","",BJ273*100000+(100000-ROW()))</f>
        <v/>
      </c>
      <c r="BL273" s="31">
        <f>IF(AR273="","",IF((IF(AND(AX273=1,Skills!$B$20=1),Skills!$B$5&amp;", ","")&amp;IF(AND(AY273=1,Skills!$C$20=1),Skills!$B$6&amp;", ","")&amp;IF(AND(AZ273=1,Skills!$D$20=1),Skills!$B$7&amp;", ","")&amp;IF(AND(BA273=1,Skills!$E$20=1),Skills!$B$8&amp;", ","")&amp;IF(AND(BB273=1,Skills!$F$20=1),Skills!$B$9&amp;", ","")&amp;IF(AND(BC273=1,Skills!$G$20=1),Skills!$B$10&amp;", ","")&amp;IF(AND(BD273=1,Skills!$H$20=1),Skills!$B$11&amp;", ","")&amp;IF(AND(BE273=1,Skills!$I$20=1),Skills!$B$12&amp;", ","")&amp;IF(AND(BF273=1,Skills!$J$20=1),Skills!$B$13&amp;", ","")&amp;IF(AND(BG273=1,Skills!$K$20=1),Skills!$B$14&amp;", ","")&amp;IF(AND(BH273=1,Skills!$L$20=1),Skills!$B$15&amp;", ","")&amp;IF(AND(BI273=1,Skills!$M$20=1),Skills!$B$16&amp;", ",""))="","",LEFT(IF(AND(AX273=1,Skills!$B$20=1),Skills!$B$5&amp;", ","")&amp;IF(AND(AY273=1,Skills!$C$20=1),Skills!$B$6&amp;", ","")&amp;IF(AND(AZ273=1,Skills!$D$20=1),Skills!$B$7&amp;", ","")&amp;IF(AND(BA273=1,Skills!$E$20=1),Skills!$B$8&amp;", ","")&amp;IF(AND(BB273=1,Skills!$F$20=1),Skills!$B$9&amp;", ","")&amp;IF(AND(BC273=1,Skills!$G$20=1),Skills!$B$10&amp;", ","")&amp;IF(AND(BD273=1,Skills!$H$20=1),Skills!$B$11&amp;", ","")&amp;IF(AND(BE273=1,Skills!$I$20=1),Skills!$B$12&amp;", ","")&amp;IF(AND(BF273=1,Skills!$J$20=1),Skills!$B$13&amp;", ","")&amp;IF(AND(BG273=1,Skills!$K$20=1),Skills!$B$14&amp;", ","")&amp;IF(AND(BH273=1,Skills!$L$20=1),Skills!$B$15&amp;", ","")&amp;IF(AND(BI273=1,Skills!$M$20=1),Skills!$B$16&amp;", ",""),LEN(IF(AND(AX273=1,Skills!$B$20=1),Skills!$B$5&amp;", ","")&amp;IF(AND(AY273=1,Skills!$C$20=1),Skills!$B$6&amp;", ","")&amp;IF(AND(AZ273=1,Skills!$D$20=1),Skills!$B$7&amp;", ","")&amp;IF(AND(BA273=1,Skills!$E$20=1),Skills!$B$8&amp;", ","")&amp;IF(AND(BB273=1,Skills!$F$20=1),Skills!$B$9&amp;", ","")&amp;IF(AND(BC273=1,Skills!$G$20=1),Skills!$B$10&amp;", ","")&amp;IF(AND(BD273=1,Skills!$H$20=1),Skills!$B$11&amp;", ","")&amp;IF(AND(BE273=1,Skills!$I$20=1),Skills!$B$12&amp;", ","")&amp;IF(AND(BF273=1,Skills!$J$20=1),Skills!$B$13&amp;", ","")&amp;IF(AND(BG273=1,Skills!$K$20=1),Skills!$B$14&amp;", ","")&amp;IF(AND(BH273=1,Skills!$L$20=1),Skills!$B$15&amp;", ","")&amp;IF(AND(BI273=1,Skills!$M$20=1),Skills!$B$16&amp;", ",""))-2)))</f>
        <v/>
      </c>
    </row>
    <row r="274">
      <c r="AD274" s="20" t="n"/>
      <c r="AE274" s="20" t="n"/>
      <c r="AF274" s="20" t="n"/>
      <c r="AG274" s="20" t="n"/>
      <c r="AH274" s="20" t="n"/>
      <c r="AI274" s="20" t="n"/>
      <c r="AJ274" s="20" t="n"/>
      <c r="AK274" s="20" t="n"/>
      <c r="AL274" s="20" t="n"/>
      <c r="AM274" s="20" t="n"/>
      <c r="AN274" s="20" t="n"/>
      <c r="AO274" s="20" t="n"/>
      <c r="AP274" s="20" t="n"/>
      <c r="AR274" s="31">
        <f>IF(IFERROR(TRIM(INDEX($A274:$AB274,MATCH(Lists!$B$5,$A$1:$AB$1,0))&amp;""),"")&lt;&gt;"",IFERROR(TRIM(INDEX($A274:$AB274,MATCH(Lists!$B$5,$A$1:$AB$1,0))&amp;""),""),IFERROR(TRIM(INDEX($A274:$AB274,MATCH(Lists!$B$3,$A$1:$AB$1,0))&amp;""),""))</f>
        <v/>
      </c>
      <c r="AS274" s="31">
        <f>IF(AR274="","",IF(IFERROR(TRIM(INDEX($A274:$AB274,MATCH(Lists!$B$5,$A$1:$AB$1,0))&amp;""),"")&lt;&gt;"","Nominated","Applied"))</f>
        <v/>
      </c>
      <c r="AT274" s="31">
        <f>IF(AR274="","",IF(IFERROR(TRIM(INDEX($A274:$AB274,MATCH(Lists!$B$5,$A$1:$AB$1,0))&amp;""),"")&lt;&gt;"",IFERROR(TRIM(INDEX($A274:$AB274,MATCH(Lists!$B$6,$A$1:$AB$1,0))&amp;""),""),IFERROR(TRIM(INDEX($A274:$AB274,MATCH(Lists!$B$4,$A$1:$AB$1,0))&amp;""),"")))</f>
        <v/>
      </c>
      <c r="AU274" s="31">
        <f>IF(AR274="","",IFERROR(TRIM(INDEX($A274:$AB274,MATCH(Lists!$B$7,$A$1:$AB$1,0))&amp;""),""))</f>
        <v/>
      </c>
      <c r="AV274" s="31">
        <f>IF(AR274="","",IFERROR(TRIM(INDEX($A274:$AB274,MATCH(Lists!$B$9,$A$1:$AB$1,0))&amp;""),""))</f>
        <v/>
      </c>
      <c r="AW274" s="31">
        <f>IF(AR274="","",IFERROR(TRIM(INDEX($A274:$AB274,MATCH(Lists!$B$8,$A$1:$AB$1,0))&amp;""),""))</f>
        <v/>
      </c>
      <c r="AX274" s="23">
        <f>IF(AR274="","",IF(OR(TRIM(AE274&amp;"")&lt;&gt;"",AND(Skills!$B$5&lt;&gt;"",ISNUMBER(SEARCH(Skills!$B$5,AU274)))),1,0))</f>
        <v/>
      </c>
      <c r="AY274" s="23">
        <f>IF(AR274="","",IF(OR(TRIM(AF274&amp;"")&lt;&gt;"",AND(Skills!$B$6&lt;&gt;"",ISNUMBER(SEARCH(Skills!$B$6,AU274)))),1,0))</f>
        <v/>
      </c>
      <c r="AZ274" s="23">
        <f>IF(AR274="","",IF(OR(TRIM(AG274&amp;"")&lt;&gt;"",AND(Skills!$B$7&lt;&gt;"",ISNUMBER(SEARCH(Skills!$B$7,AU274)))),1,0))</f>
        <v/>
      </c>
      <c r="BA274" s="23">
        <f>IF(AR274="","",IF(OR(TRIM(AH274&amp;"")&lt;&gt;"",AND(Skills!$B$8&lt;&gt;"",ISNUMBER(SEARCH(Skills!$B$8,AU274)))),1,0))</f>
        <v/>
      </c>
      <c r="BB274" s="23">
        <f>IF(AR274="","",IF(OR(TRIM(AI274&amp;"")&lt;&gt;"",AND(Skills!$B$9&lt;&gt;"",ISNUMBER(SEARCH(Skills!$B$9,AU274)))),1,0))</f>
        <v/>
      </c>
      <c r="BC274" s="23">
        <f>IF(AR274="","",IF(OR(TRIM(AJ274&amp;"")&lt;&gt;"",AND(Skills!$B$10&lt;&gt;"",ISNUMBER(SEARCH(Skills!$B$10,AU274)))),1,0))</f>
        <v/>
      </c>
      <c r="BD274" s="23">
        <f>IF(AR274="","",IF(OR(TRIM(AK274&amp;"")&lt;&gt;"",AND(Skills!$B$11&lt;&gt;"",ISNUMBER(SEARCH(Skills!$B$11,AU274)))),1,0))</f>
        <v/>
      </c>
      <c r="BE274" s="23">
        <f>IF(AR274="","",IF(OR(TRIM(AL274&amp;"")&lt;&gt;"",AND(Skills!$B$12&lt;&gt;"",ISNUMBER(SEARCH(Skills!$B$12,AU274)))),1,0))</f>
        <v/>
      </c>
      <c r="BF274" s="23">
        <f>IF(AR274="","",IF(OR(TRIM(AM274&amp;"")&lt;&gt;"",AND(Skills!$B$13&lt;&gt;"",ISNUMBER(SEARCH(Skills!$B$13,AU274)))),1,0))</f>
        <v/>
      </c>
      <c r="BG274" s="23">
        <f>IF(AR274="","",IF(OR(TRIM(AN274&amp;"")&lt;&gt;"",AND(Skills!$B$14&lt;&gt;"",ISNUMBER(SEARCH(Skills!$B$14,AU274)))),1,0))</f>
        <v/>
      </c>
      <c r="BH274" s="23">
        <f>IF(AR274="","",IF(OR(TRIM(AO274&amp;"")&lt;&gt;"",AND(Skills!$B$15&lt;&gt;"",ISNUMBER(SEARCH(Skills!$B$15,AU274)))),1,0))</f>
        <v/>
      </c>
      <c r="BI274" s="23">
        <f>IF(AR274="","",IF(OR(TRIM(AP274&amp;"")&lt;&gt;"",AND(Skills!$B$16&lt;&gt;"",ISNUMBER(SEARCH(Skills!$B$16,AU274)))),1,0))</f>
        <v/>
      </c>
      <c r="BJ274" s="23">
        <f>IF(AR274="","",SUMPRODUCT($AX274:$BI274,Skills!$B$20:$M$20))</f>
        <v/>
      </c>
      <c r="BK274" s="23">
        <f>IF(AR274="","",BJ274*100000+(100000-ROW()))</f>
        <v/>
      </c>
      <c r="BL274" s="31">
        <f>IF(AR274="","",IF((IF(AND(AX274=1,Skills!$B$20=1),Skills!$B$5&amp;", ","")&amp;IF(AND(AY274=1,Skills!$C$20=1),Skills!$B$6&amp;", ","")&amp;IF(AND(AZ274=1,Skills!$D$20=1),Skills!$B$7&amp;", ","")&amp;IF(AND(BA274=1,Skills!$E$20=1),Skills!$B$8&amp;", ","")&amp;IF(AND(BB274=1,Skills!$F$20=1),Skills!$B$9&amp;", ","")&amp;IF(AND(BC274=1,Skills!$G$20=1),Skills!$B$10&amp;", ","")&amp;IF(AND(BD274=1,Skills!$H$20=1),Skills!$B$11&amp;", ","")&amp;IF(AND(BE274=1,Skills!$I$20=1),Skills!$B$12&amp;", ","")&amp;IF(AND(BF274=1,Skills!$J$20=1),Skills!$B$13&amp;", ","")&amp;IF(AND(BG274=1,Skills!$K$20=1),Skills!$B$14&amp;", ","")&amp;IF(AND(BH274=1,Skills!$L$20=1),Skills!$B$15&amp;", ","")&amp;IF(AND(BI274=1,Skills!$M$20=1),Skills!$B$16&amp;", ",""))="","",LEFT(IF(AND(AX274=1,Skills!$B$20=1),Skills!$B$5&amp;", ","")&amp;IF(AND(AY274=1,Skills!$C$20=1),Skills!$B$6&amp;", ","")&amp;IF(AND(AZ274=1,Skills!$D$20=1),Skills!$B$7&amp;", ","")&amp;IF(AND(BA274=1,Skills!$E$20=1),Skills!$B$8&amp;", ","")&amp;IF(AND(BB274=1,Skills!$F$20=1),Skills!$B$9&amp;", ","")&amp;IF(AND(BC274=1,Skills!$G$20=1),Skills!$B$10&amp;", ","")&amp;IF(AND(BD274=1,Skills!$H$20=1),Skills!$B$11&amp;", ","")&amp;IF(AND(BE274=1,Skills!$I$20=1),Skills!$B$12&amp;", ","")&amp;IF(AND(BF274=1,Skills!$J$20=1),Skills!$B$13&amp;", ","")&amp;IF(AND(BG274=1,Skills!$K$20=1),Skills!$B$14&amp;", ","")&amp;IF(AND(BH274=1,Skills!$L$20=1),Skills!$B$15&amp;", ","")&amp;IF(AND(BI274=1,Skills!$M$20=1),Skills!$B$16&amp;", ",""),LEN(IF(AND(AX274=1,Skills!$B$20=1),Skills!$B$5&amp;", ","")&amp;IF(AND(AY274=1,Skills!$C$20=1),Skills!$B$6&amp;", ","")&amp;IF(AND(AZ274=1,Skills!$D$20=1),Skills!$B$7&amp;", ","")&amp;IF(AND(BA274=1,Skills!$E$20=1),Skills!$B$8&amp;", ","")&amp;IF(AND(BB274=1,Skills!$F$20=1),Skills!$B$9&amp;", ","")&amp;IF(AND(BC274=1,Skills!$G$20=1),Skills!$B$10&amp;", ","")&amp;IF(AND(BD274=1,Skills!$H$20=1),Skills!$B$11&amp;", ","")&amp;IF(AND(BE274=1,Skills!$I$20=1),Skills!$B$12&amp;", ","")&amp;IF(AND(BF274=1,Skills!$J$20=1),Skills!$B$13&amp;", ","")&amp;IF(AND(BG274=1,Skills!$K$20=1),Skills!$B$14&amp;", ","")&amp;IF(AND(BH274=1,Skills!$L$20=1),Skills!$B$15&amp;", ","")&amp;IF(AND(BI274=1,Skills!$M$20=1),Skills!$B$16&amp;", ",""))-2)))</f>
        <v/>
      </c>
    </row>
    <row r="275">
      <c r="AD275" s="20" t="n"/>
      <c r="AE275" s="20" t="n"/>
      <c r="AF275" s="20" t="n"/>
      <c r="AG275" s="20" t="n"/>
      <c r="AH275" s="20" t="n"/>
      <c r="AI275" s="20" t="n"/>
      <c r="AJ275" s="20" t="n"/>
      <c r="AK275" s="20" t="n"/>
      <c r="AL275" s="20" t="n"/>
      <c r="AM275" s="20" t="n"/>
      <c r="AN275" s="20" t="n"/>
      <c r="AO275" s="20" t="n"/>
      <c r="AP275" s="20" t="n"/>
      <c r="AR275" s="31">
        <f>IF(IFERROR(TRIM(INDEX($A275:$AB275,MATCH(Lists!$B$5,$A$1:$AB$1,0))&amp;""),"")&lt;&gt;"",IFERROR(TRIM(INDEX($A275:$AB275,MATCH(Lists!$B$5,$A$1:$AB$1,0))&amp;""),""),IFERROR(TRIM(INDEX($A275:$AB275,MATCH(Lists!$B$3,$A$1:$AB$1,0))&amp;""),""))</f>
        <v/>
      </c>
      <c r="AS275" s="31">
        <f>IF(AR275="","",IF(IFERROR(TRIM(INDEX($A275:$AB275,MATCH(Lists!$B$5,$A$1:$AB$1,0))&amp;""),"")&lt;&gt;"","Nominated","Applied"))</f>
        <v/>
      </c>
      <c r="AT275" s="31">
        <f>IF(AR275="","",IF(IFERROR(TRIM(INDEX($A275:$AB275,MATCH(Lists!$B$5,$A$1:$AB$1,0))&amp;""),"")&lt;&gt;"",IFERROR(TRIM(INDEX($A275:$AB275,MATCH(Lists!$B$6,$A$1:$AB$1,0))&amp;""),""),IFERROR(TRIM(INDEX($A275:$AB275,MATCH(Lists!$B$4,$A$1:$AB$1,0))&amp;""),"")))</f>
        <v/>
      </c>
      <c r="AU275" s="31">
        <f>IF(AR275="","",IFERROR(TRIM(INDEX($A275:$AB275,MATCH(Lists!$B$7,$A$1:$AB$1,0))&amp;""),""))</f>
        <v/>
      </c>
      <c r="AV275" s="31">
        <f>IF(AR275="","",IFERROR(TRIM(INDEX($A275:$AB275,MATCH(Lists!$B$9,$A$1:$AB$1,0))&amp;""),""))</f>
        <v/>
      </c>
      <c r="AW275" s="31">
        <f>IF(AR275="","",IFERROR(TRIM(INDEX($A275:$AB275,MATCH(Lists!$B$8,$A$1:$AB$1,0))&amp;""),""))</f>
        <v/>
      </c>
      <c r="AX275" s="23">
        <f>IF(AR275="","",IF(OR(TRIM(AE275&amp;"")&lt;&gt;"",AND(Skills!$B$5&lt;&gt;"",ISNUMBER(SEARCH(Skills!$B$5,AU275)))),1,0))</f>
        <v/>
      </c>
      <c r="AY275" s="23">
        <f>IF(AR275="","",IF(OR(TRIM(AF275&amp;"")&lt;&gt;"",AND(Skills!$B$6&lt;&gt;"",ISNUMBER(SEARCH(Skills!$B$6,AU275)))),1,0))</f>
        <v/>
      </c>
      <c r="AZ275" s="23">
        <f>IF(AR275="","",IF(OR(TRIM(AG275&amp;"")&lt;&gt;"",AND(Skills!$B$7&lt;&gt;"",ISNUMBER(SEARCH(Skills!$B$7,AU275)))),1,0))</f>
        <v/>
      </c>
      <c r="BA275" s="23">
        <f>IF(AR275="","",IF(OR(TRIM(AH275&amp;"")&lt;&gt;"",AND(Skills!$B$8&lt;&gt;"",ISNUMBER(SEARCH(Skills!$B$8,AU275)))),1,0))</f>
        <v/>
      </c>
      <c r="BB275" s="23">
        <f>IF(AR275="","",IF(OR(TRIM(AI275&amp;"")&lt;&gt;"",AND(Skills!$B$9&lt;&gt;"",ISNUMBER(SEARCH(Skills!$B$9,AU275)))),1,0))</f>
        <v/>
      </c>
      <c r="BC275" s="23">
        <f>IF(AR275="","",IF(OR(TRIM(AJ275&amp;"")&lt;&gt;"",AND(Skills!$B$10&lt;&gt;"",ISNUMBER(SEARCH(Skills!$B$10,AU275)))),1,0))</f>
        <v/>
      </c>
      <c r="BD275" s="23">
        <f>IF(AR275="","",IF(OR(TRIM(AK275&amp;"")&lt;&gt;"",AND(Skills!$B$11&lt;&gt;"",ISNUMBER(SEARCH(Skills!$B$11,AU275)))),1,0))</f>
        <v/>
      </c>
      <c r="BE275" s="23">
        <f>IF(AR275="","",IF(OR(TRIM(AL275&amp;"")&lt;&gt;"",AND(Skills!$B$12&lt;&gt;"",ISNUMBER(SEARCH(Skills!$B$12,AU275)))),1,0))</f>
        <v/>
      </c>
      <c r="BF275" s="23">
        <f>IF(AR275="","",IF(OR(TRIM(AM275&amp;"")&lt;&gt;"",AND(Skills!$B$13&lt;&gt;"",ISNUMBER(SEARCH(Skills!$B$13,AU275)))),1,0))</f>
        <v/>
      </c>
      <c r="BG275" s="23">
        <f>IF(AR275="","",IF(OR(TRIM(AN275&amp;"")&lt;&gt;"",AND(Skills!$B$14&lt;&gt;"",ISNUMBER(SEARCH(Skills!$B$14,AU275)))),1,0))</f>
        <v/>
      </c>
      <c r="BH275" s="23">
        <f>IF(AR275="","",IF(OR(TRIM(AO275&amp;"")&lt;&gt;"",AND(Skills!$B$15&lt;&gt;"",ISNUMBER(SEARCH(Skills!$B$15,AU275)))),1,0))</f>
        <v/>
      </c>
      <c r="BI275" s="23">
        <f>IF(AR275="","",IF(OR(TRIM(AP275&amp;"")&lt;&gt;"",AND(Skills!$B$16&lt;&gt;"",ISNUMBER(SEARCH(Skills!$B$16,AU275)))),1,0))</f>
        <v/>
      </c>
      <c r="BJ275" s="23">
        <f>IF(AR275="","",SUMPRODUCT($AX275:$BI275,Skills!$B$20:$M$20))</f>
        <v/>
      </c>
      <c r="BK275" s="23">
        <f>IF(AR275="","",BJ275*100000+(100000-ROW()))</f>
        <v/>
      </c>
      <c r="BL275" s="31">
        <f>IF(AR275="","",IF((IF(AND(AX275=1,Skills!$B$20=1),Skills!$B$5&amp;", ","")&amp;IF(AND(AY275=1,Skills!$C$20=1),Skills!$B$6&amp;", ","")&amp;IF(AND(AZ275=1,Skills!$D$20=1),Skills!$B$7&amp;", ","")&amp;IF(AND(BA275=1,Skills!$E$20=1),Skills!$B$8&amp;", ","")&amp;IF(AND(BB275=1,Skills!$F$20=1),Skills!$B$9&amp;", ","")&amp;IF(AND(BC275=1,Skills!$G$20=1),Skills!$B$10&amp;", ","")&amp;IF(AND(BD275=1,Skills!$H$20=1),Skills!$B$11&amp;", ","")&amp;IF(AND(BE275=1,Skills!$I$20=1),Skills!$B$12&amp;", ","")&amp;IF(AND(BF275=1,Skills!$J$20=1),Skills!$B$13&amp;", ","")&amp;IF(AND(BG275=1,Skills!$K$20=1),Skills!$B$14&amp;", ","")&amp;IF(AND(BH275=1,Skills!$L$20=1),Skills!$B$15&amp;", ","")&amp;IF(AND(BI275=1,Skills!$M$20=1),Skills!$B$16&amp;", ",""))="","",LEFT(IF(AND(AX275=1,Skills!$B$20=1),Skills!$B$5&amp;", ","")&amp;IF(AND(AY275=1,Skills!$C$20=1),Skills!$B$6&amp;", ","")&amp;IF(AND(AZ275=1,Skills!$D$20=1),Skills!$B$7&amp;", ","")&amp;IF(AND(BA275=1,Skills!$E$20=1),Skills!$B$8&amp;", ","")&amp;IF(AND(BB275=1,Skills!$F$20=1),Skills!$B$9&amp;", ","")&amp;IF(AND(BC275=1,Skills!$G$20=1),Skills!$B$10&amp;", ","")&amp;IF(AND(BD275=1,Skills!$H$20=1),Skills!$B$11&amp;", ","")&amp;IF(AND(BE275=1,Skills!$I$20=1),Skills!$B$12&amp;", ","")&amp;IF(AND(BF275=1,Skills!$J$20=1),Skills!$B$13&amp;", ","")&amp;IF(AND(BG275=1,Skills!$K$20=1),Skills!$B$14&amp;", ","")&amp;IF(AND(BH275=1,Skills!$L$20=1),Skills!$B$15&amp;", ","")&amp;IF(AND(BI275=1,Skills!$M$20=1),Skills!$B$16&amp;", ",""),LEN(IF(AND(AX275=1,Skills!$B$20=1),Skills!$B$5&amp;", ","")&amp;IF(AND(AY275=1,Skills!$C$20=1),Skills!$B$6&amp;", ","")&amp;IF(AND(AZ275=1,Skills!$D$20=1),Skills!$B$7&amp;", ","")&amp;IF(AND(BA275=1,Skills!$E$20=1),Skills!$B$8&amp;", ","")&amp;IF(AND(BB275=1,Skills!$F$20=1),Skills!$B$9&amp;", ","")&amp;IF(AND(BC275=1,Skills!$G$20=1),Skills!$B$10&amp;", ","")&amp;IF(AND(BD275=1,Skills!$H$20=1),Skills!$B$11&amp;", ","")&amp;IF(AND(BE275=1,Skills!$I$20=1),Skills!$B$12&amp;", ","")&amp;IF(AND(BF275=1,Skills!$J$20=1),Skills!$B$13&amp;", ","")&amp;IF(AND(BG275=1,Skills!$K$20=1),Skills!$B$14&amp;", ","")&amp;IF(AND(BH275=1,Skills!$L$20=1),Skills!$B$15&amp;", ","")&amp;IF(AND(BI275=1,Skills!$M$20=1),Skills!$B$16&amp;", ",""))-2)))</f>
        <v/>
      </c>
    </row>
    <row r="276">
      <c r="AD276" s="20" t="n"/>
      <c r="AE276" s="20" t="n"/>
      <c r="AF276" s="20" t="n"/>
      <c r="AG276" s="20" t="n"/>
      <c r="AH276" s="20" t="n"/>
      <c r="AI276" s="20" t="n"/>
      <c r="AJ276" s="20" t="n"/>
      <c r="AK276" s="20" t="n"/>
      <c r="AL276" s="20" t="n"/>
      <c r="AM276" s="20" t="n"/>
      <c r="AN276" s="20" t="n"/>
      <c r="AO276" s="20" t="n"/>
      <c r="AP276" s="20" t="n"/>
      <c r="AR276" s="31">
        <f>IF(IFERROR(TRIM(INDEX($A276:$AB276,MATCH(Lists!$B$5,$A$1:$AB$1,0))&amp;""),"")&lt;&gt;"",IFERROR(TRIM(INDEX($A276:$AB276,MATCH(Lists!$B$5,$A$1:$AB$1,0))&amp;""),""),IFERROR(TRIM(INDEX($A276:$AB276,MATCH(Lists!$B$3,$A$1:$AB$1,0))&amp;""),""))</f>
        <v/>
      </c>
      <c r="AS276" s="31">
        <f>IF(AR276="","",IF(IFERROR(TRIM(INDEX($A276:$AB276,MATCH(Lists!$B$5,$A$1:$AB$1,0))&amp;""),"")&lt;&gt;"","Nominated","Applied"))</f>
        <v/>
      </c>
      <c r="AT276" s="31">
        <f>IF(AR276="","",IF(IFERROR(TRIM(INDEX($A276:$AB276,MATCH(Lists!$B$5,$A$1:$AB$1,0))&amp;""),"")&lt;&gt;"",IFERROR(TRIM(INDEX($A276:$AB276,MATCH(Lists!$B$6,$A$1:$AB$1,0))&amp;""),""),IFERROR(TRIM(INDEX($A276:$AB276,MATCH(Lists!$B$4,$A$1:$AB$1,0))&amp;""),"")))</f>
        <v/>
      </c>
      <c r="AU276" s="31">
        <f>IF(AR276="","",IFERROR(TRIM(INDEX($A276:$AB276,MATCH(Lists!$B$7,$A$1:$AB$1,0))&amp;""),""))</f>
        <v/>
      </c>
      <c r="AV276" s="31">
        <f>IF(AR276="","",IFERROR(TRIM(INDEX($A276:$AB276,MATCH(Lists!$B$9,$A$1:$AB$1,0))&amp;""),""))</f>
        <v/>
      </c>
      <c r="AW276" s="31">
        <f>IF(AR276="","",IFERROR(TRIM(INDEX($A276:$AB276,MATCH(Lists!$B$8,$A$1:$AB$1,0))&amp;""),""))</f>
        <v/>
      </c>
      <c r="AX276" s="23">
        <f>IF(AR276="","",IF(OR(TRIM(AE276&amp;"")&lt;&gt;"",AND(Skills!$B$5&lt;&gt;"",ISNUMBER(SEARCH(Skills!$B$5,AU276)))),1,0))</f>
        <v/>
      </c>
      <c r="AY276" s="23">
        <f>IF(AR276="","",IF(OR(TRIM(AF276&amp;"")&lt;&gt;"",AND(Skills!$B$6&lt;&gt;"",ISNUMBER(SEARCH(Skills!$B$6,AU276)))),1,0))</f>
        <v/>
      </c>
      <c r="AZ276" s="23">
        <f>IF(AR276="","",IF(OR(TRIM(AG276&amp;"")&lt;&gt;"",AND(Skills!$B$7&lt;&gt;"",ISNUMBER(SEARCH(Skills!$B$7,AU276)))),1,0))</f>
        <v/>
      </c>
      <c r="BA276" s="23">
        <f>IF(AR276="","",IF(OR(TRIM(AH276&amp;"")&lt;&gt;"",AND(Skills!$B$8&lt;&gt;"",ISNUMBER(SEARCH(Skills!$B$8,AU276)))),1,0))</f>
        <v/>
      </c>
      <c r="BB276" s="23">
        <f>IF(AR276="","",IF(OR(TRIM(AI276&amp;"")&lt;&gt;"",AND(Skills!$B$9&lt;&gt;"",ISNUMBER(SEARCH(Skills!$B$9,AU276)))),1,0))</f>
        <v/>
      </c>
      <c r="BC276" s="23">
        <f>IF(AR276="","",IF(OR(TRIM(AJ276&amp;"")&lt;&gt;"",AND(Skills!$B$10&lt;&gt;"",ISNUMBER(SEARCH(Skills!$B$10,AU276)))),1,0))</f>
        <v/>
      </c>
      <c r="BD276" s="23">
        <f>IF(AR276="","",IF(OR(TRIM(AK276&amp;"")&lt;&gt;"",AND(Skills!$B$11&lt;&gt;"",ISNUMBER(SEARCH(Skills!$B$11,AU276)))),1,0))</f>
        <v/>
      </c>
      <c r="BE276" s="23">
        <f>IF(AR276="","",IF(OR(TRIM(AL276&amp;"")&lt;&gt;"",AND(Skills!$B$12&lt;&gt;"",ISNUMBER(SEARCH(Skills!$B$12,AU276)))),1,0))</f>
        <v/>
      </c>
      <c r="BF276" s="23">
        <f>IF(AR276="","",IF(OR(TRIM(AM276&amp;"")&lt;&gt;"",AND(Skills!$B$13&lt;&gt;"",ISNUMBER(SEARCH(Skills!$B$13,AU276)))),1,0))</f>
        <v/>
      </c>
      <c r="BG276" s="23">
        <f>IF(AR276="","",IF(OR(TRIM(AN276&amp;"")&lt;&gt;"",AND(Skills!$B$14&lt;&gt;"",ISNUMBER(SEARCH(Skills!$B$14,AU276)))),1,0))</f>
        <v/>
      </c>
      <c r="BH276" s="23">
        <f>IF(AR276="","",IF(OR(TRIM(AO276&amp;"")&lt;&gt;"",AND(Skills!$B$15&lt;&gt;"",ISNUMBER(SEARCH(Skills!$B$15,AU276)))),1,0))</f>
        <v/>
      </c>
      <c r="BI276" s="23">
        <f>IF(AR276="","",IF(OR(TRIM(AP276&amp;"")&lt;&gt;"",AND(Skills!$B$16&lt;&gt;"",ISNUMBER(SEARCH(Skills!$B$16,AU276)))),1,0))</f>
        <v/>
      </c>
      <c r="BJ276" s="23">
        <f>IF(AR276="","",SUMPRODUCT($AX276:$BI276,Skills!$B$20:$M$20))</f>
        <v/>
      </c>
      <c r="BK276" s="23">
        <f>IF(AR276="","",BJ276*100000+(100000-ROW()))</f>
        <v/>
      </c>
      <c r="BL276" s="31">
        <f>IF(AR276="","",IF((IF(AND(AX276=1,Skills!$B$20=1),Skills!$B$5&amp;", ","")&amp;IF(AND(AY276=1,Skills!$C$20=1),Skills!$B$6&amp;", ","")&amp;IF(AND(AZ276=1,Skills!$D$20=1),Skills!$B$7&amp;", ","")&amp;IF(AND(BA276=1,Skills!$E$20=1),Skills!$B$8&amp;", ","")&amp;IF(AND(BB276=1,Skills!$F$20=1),Skills!$B$9&amp;", ","")&amp;IF(AND(BC276=1,Skills!$G$20=1),Skills!$B$10&amp;", ","")&amp;IF(AND(BD276=1,Skills!$H$20=1),Skills!$B$11&amp;", ","")&amp;IF(AND(BE276=1,Skills!$I$20=1),Skills!$B$12&amp;", ","")&amp;IF(AND(BF276=1,Skills!$J$20=1),Skills!$B$13&amp;", ","")&amp;IF(AND(BG276=1,Skills!$K$20=1),Skills!$B$14&amp;", ","")&amp;IF(AND(BH276=1,Skills!$L$20=1),Skills!$B$15&amp;", ","")&amp;IF(AND(BI276=1,Skills!$M$20=1),Skills!$B$16&amp;", ",""))="","",LEFT(IF(AND(AX276=1,Skills!$B$20=1),Skills!$B$5&amp;", ","")&amp;IF(AND(AY276=1,Skills!$C$20=1),Skills!$B$6&amp;", ","")&amp;IF(AND(AZ276=1,Skills!$D$20=1),Skills!$B$7&amp;", ","")&amp;IF(AND(BA276=1,Skills!$E$20=1),Skills!$B$8&amp;", ","")&amp;IF(AND(BB276=1,Skills!$F$20=1),Skills!$B$9&amp;", ","")&amp;IF(AND(BC276=1,Skills!$G$20=1),Skills!$B$10&amp;", ","")&amp;IF(AND(BD276=1,Skills!$H$20=1),Skills!$B$11&amp;", ","")&amp;IF(AND(BE276=1,Skills!$I$20=1),Skills!$B$12&amp;", ","")&amp;IF(AND(BF276=1,Skills!$J$20=1),Skills!$B$13&amp;", ","")&amp;IF(AND(BG276=1,Skills!$K$20=1),Skills!$B$14&amp;", ","")&amp;IF(AND(BH276=1,Skills!$L$20=1),Skills!$B$15&amp;", ","")&amp;IF(AND(BI276=1,Skills!$M$20=1),Skills!$B$16&amp;", ",""),LEN(IF(AND(AX276=1,Skills!$B$20=1),Skills!$B$5&amp;", ","")&amp;IF(AND(AY276=1,Skills!$C$20=1),Skills!$B$6&amp;", ","")&amp;IF(AND(AZ276=1,Skills!$D$20=1),Skills!$B$7&amp;", ","")&amp;IF(AND(BA276=1,Skills!$E$20=1),Skills!$B$8&amp;", ","")&amp;IF(AND(BB276=1,Skills!$F$20=1),Skills!$B$9&amp;", ","")&amp;IF(AND(BC276=1,Skills!$G$20=1),Skills!$B$10&amp;", ","")&amp;IF(AND(BD276=1,Skills!$H$20=1),Skills!$B$11&amp;", ","")&amp;IF(AND(BE276=1,Skills!$I$20=1),Skills!$B$12&amp;", ","")&amp;IF(AND(BF276=1,Skills!$J$20=1),Skills!$B$13&amp;", ","")&amp;IF(AND(BG276=1,Skills!$K$20=1),Skills!$B$14&amp;", ","")&amp;IF(AND(BH276=1,Skills!$L$20=1),Skills!$B$15&amp;", ","")&amp;IF(AND(BI276=1,Skills!$M$20=1),Skills!$B$16&amp;", ",""))-2)))</f>
        <v/>
      </c>
    </row>
    <row r="277">
      <c r="AD277" s="20" t="n"/>
      <c r="AE277" s="20" t="n"/>
      <c r="AF277" s="20" t="n"/>
      <c r="AG277" s="20" t="n"/>
      <c r="AH277" s="20" t="n"/>
      <c r="AI277" s="20" t="n"/>
      <c r="AJ277" s="20" t="n"/>
      <c r="AK277" s="20" t="n"/>
      <c r="AL277" s="20" t="n"/>
      <c r="AM277" s="20" t="n"/>
      <c r="AN277" s="20" t="n"/>
      <c r="AO277" s="20" t="n"/>
      <c r="AP277" s="20" t="n"/>
      <c r="AR277" s="31">
        <f>IF(IFERROR(TRIM(INDEX($A277:$AB277,MATCH(Lists!$B$5,$A$1:$AB$1,0))&amp;""),"")&lt;&gt;"",IFERROR(TRIM(INDEX($A277:$AB277,MATCH(Lists!$B$5,$A$1:$AB$1,0))&amp;""),""),IFERROR(TRIM(INDEX($A277:$AB277,MATCH(Lists!$B$3,$A$1:$AB$1,0))&amp;""),""))</f>
        <v/>
      </c>
      <c r="AS277" s="31">
        <f>IF(AR277="","",IF(IFERROR(TRIM(INDEX($A277:$AB277,MATCH(Lists!$B$5,$A$1:$AB$1,0))&amp;""),"")&lt;&gt;"","Nominated","Applied"))</f>
        <v/>
      </c>
      <c r="AT277" s="31">
        <f>IF(AR277="","",IF(IFERROR(TRIM(INDEX($A277:$AB277,MATCH(Lists!$B$5,$A$1:$AB$1,0))&amp;""),"")&lt;&gt;"",IFERROR(TRIM(INDEX($A277:$AB277,MATCH(Lists!$B$6,$A$1:$AB$1,0))&amp;""),""),IFERROR(TRIM(INDEX($A277:$AB277,MATCH(Lists!$B$4,$A$1:$AB$1,0))&amp;""),"")))</f>
        <v/>
      </c>
      <c r="AU277" s="31">
        <f>IF(AR277="","",IFERROR(TRIM(INDEX($A277:$AB277,MATCH(Lists!$B$7,$A$1:$AB$1,0))&amp;""),""))</f>
        <v/>
      </c>
      <c r="AV277" s="31">
        <f>IF(AR277="","",IFERROR(TRIM(INDEX($A277:$AB277,MATCH(Lists!$B$9,$A$1:$AB$1,0))&amp;""),""))</f>
        <v/>
      </c>
      <c r="AW277" s="31">
        <f>IF(AR277="","",IFERROR(TRIM(INDEX($A277:$AB277,MATCH(Lists!$B$8,$A$1:$AB$1,0))&amp;""),""))</f>
        <v/>
      </c>
      <c r="AX277" s="23">
        <f>IF(AR277="","",IF(OR(TRIM(AE277&amp;"")&lt;&gt;"",AND(Skills!$B$5&lt;&gt;"",ISNUMBER(SEARCH(Skills!$B$5,AU277)))),1,0))</f>
        <v/>
      </c>
      <c r="AY277" s="23">
        <f>IF(AR277="","",IF(OR(TRIM(AF277&amp;"")&lt;&gt;"",AND(Skills!$B$6&lt;&gt;"",ISNUMBER(SEARCH(Skills!$B$6,AU277)))),1,0))</f>
        <v/>
      </c>
      <c r="AZ277" s="23">
        <f>IF(AR277="","",IF(OR(TRIM(AG277&amp;"")&lt;&gt;"",AND(Skills!$B$7&lt;&gt;"",ISNUMBER(SEARCH(Skills!$B$7,AU277)))),1,0))</f>
        <v/>
      </c>
      <c r="BA277" s="23">
        <f>IF(AR277="","",IF(OR(TRIM(AH277&amp;"")&lt;&gt;"",AND(Skills!$B$8&lt;&gt;"",ISNUMBER(SEARCH(Skills!$B$8,AU277)))),1,0))</f>
        <v/>
      </c>
      <c r="BB277" s="23">
        <f>IF(AR277="","",IF(OR(TRIM(AI277&amp;"")&lt;&gt;"",AND(Skills!$B$9&lt;&gt;"",ISNUMBER(SEARCH(Skills!$B$9,AU277)))),1,0))</f>
        <v/>
      </c>
      <c r="BC277" s="23">
        <f>IF(AR277="","",IF(OR(TRIM(AJ277&amp;"")&lt;&gt;"",AND(Skills!$B$10&lt;&gt;"",ISNUMBER(SEARCH(Skills!$B$10,AU277)))),1,0))</f>
        <v/>
      </c>
      <c r="BD277" s="23">
        <f>IF(AR277="","",IF(OR(TRIM(AK277&amp;"")&lt;&gt;"",AND(Skills!$B$11&lt;&gt;"",ISNUMBER(SEARCH(Skills!$B$11,AU277)))),1,0))</f>
        <v/>
      </c>
      <c r="BE277" s="23">
        <f>IF(AR277="","",IF(OR(TRIM(AL277&amp;"")&lt;&gt;"",AND(Skills!$B$12&lt;&gt;"",ISNUMBER(SEARCH(Skills!$B$12,AU277)))),1,0))</f>
        <v/>
      </c>
      <c r="BF277" s="23">
        <f>IF(AR277="","",IF(OR(TRIM(AM277&amp;"")&lt;&gt;"",AND(Skills!$B$13&lt;&gt;"",ISNUMBER(SEARCH(Skills!$B$13,AU277)))),1,0))</f>
        <v/>
      </c>
      <c r="BG277" s="23">
        <f>IF(AR277="","",IF(OR(TRIM(AN277&amp;"")&lt;&gt;"",AND(Skills!$B$14&lt;&gt;"",ISNUMBER(SEARCH(Skills!$B$14,AU277)))),1,0))</f>
        <v/>
      </c>
      <c r="BH277" s="23">
        <f>IF(AR277="","",IF(OR(TRIM(AO277&amp;"")&lt;&gt;"",AND(Skills!$B$15&lt;&gt;"",ISNUMBER(SEARCH(Skills!$B$15,AU277)))),1,0))</f>
        <v/>
      </c>
      <c r="BI277" s="23">
        <f>IF(AR277="","",IF(OR(TRIM(AP277&amp;"")&lt;&gt;"",AND(Skills!$B$16&lt;&gt;"",ISNUMBER(SEARCH(Skills!$B$16,AU277)))),1,0))</f>
        <v/>
      </c>
      <c r="BJ277" s="23">
        <f>IF(AR277="","",SUMPRODUCT($AX277:$BI277,Skills!$B$20:$M$20))</f>
        <v/>
      </c>
      <c r="BK277" s="23">
        <f>IF(AR277="","",BJ277*100000+(100000-ROW()))</f>
        <v/>
      </c>
      <c r="BL277" s="31">
        <f>IF(AR277="","",IF((IF(AND(AX277=1,Skills!$B$20=1),Skills!$B$5&amp;", ","")&amp;IF(AND(AY277=1,Skills!$C$20=1),Skills!$B$6&amp;", ","")&amp;IF(AND(AZ277=1,Skills!$D$20=1),Skills!$B$7&amp;", ","")&amp;IF(AND(BA277=1,Skills!$E$20=1),Skills!$B$8&amp;", ","")&amp;IF(AND(BB277=1,Skills!$F$20=1),Skills!$B$9&amp;", ","")&amp;IF(AND(BC277=1,Skills!$G$20=1),Skills!$B$10&amp;", ","")&amp;IF(AND(BD277=1,Skills!$H$20=1),Skills!$B$11&amp;", ","")&amp;IF(AND(BE277=1,Skills!$I$20=1),Skills!$B$12&amp;", ","")&amp;IF(AND(BF277=1,Skills!$J$20=1),Skills!$B$13&amp;", ","")&amp;IF(AND(BG277=1,Skills!$K$20=1),Skills!$B$14&amp;", ","")&amp;IF(AND(BH277=1,Skills!$L$20=1),Skills!$B$15&amp;", ","")&amp;IF(AND(BI277=1,Skills!$M$20=1),Skills!$B$16&amp;", ",""))="","",LEFT(IF(AND(AX277=1,Skills!$B$20=1),Skills!$B$5&amp;", ","")&amp;IF(AND(AY277=1,Skills!$C$20=1),Skills!$B$6&amp;", ","")&amp;IF(AND(AZ277=1,Skills!$D$20=1),Skills!$B$7&amp;", ","")&amp;IF(AND(BA277=1,Skills!$E$20=1),Skills!$B$8&amp;", ","")&amp;IF(AND(BB277=1,Skills!$F$20=1),Skills!$B$9&amp;", ","")&amp;IF(AND(BC277=1,Skills!$G$20=1),Skills!$B$10&amp;", ","")&amp;IF(AND(BD277=1,Skills!$H$20=1),Skills!$B$11&amp;", ","")&amp;IF(AND(BE277=1,Skills!$I$20=1),Skills!$B$12&amp;", ","")&amp;IF(AND(BF277=1,Skills!$J$20=1),Skills!$B$13&amp;", ","")&amp;IF(AND(BG277=1,Skills!$K$20=1),Skills!$B$14&amp;", ","")&amp;IF(AND(BH277=1,Skills!$L$20=1),Skills!$B$15&amp;", ","")&amp;IF(AND(BI277=1,Skills!$M$20=1),Skills!$B$16&amp;", ",""),LEN(IF(AND(AX277=1,Skills!$B$20=1),Skills!$B$5&amp;", ","")&amp;IF(AND(AY277=1,Skills!$C$20=1),Skills!$B$6&amp;", ","")&amp;IF(AND(AZ277=1,Skills!$D$20=1),Skills!$B$7&amp;", ","")&amp;IF(AND(BA277=1,Skills!$E$20=1),Skills!$B$8&amp;", ","")&amp;IF(AND(BB277=1,Skills!$F$20=1),Skills!$B$9&amp;", ","")&amp;IF(AND(BC277=1,Skills!$G$20=1),Skills!$B$10&amp;", ","")&amp;IF(AND(BD277=1,Skills!$H$20=1),Skills!$B$11&amp;", ","")&amp;IF(AND(BE277=1,Skills!$I$20=1),Skills!$B$12&amp;", ","")&amp;IF(AND(BF277=1,Skills!$J$20=1),Skills!$B$13&amp;", ","")&amp;IF(AND(BG277=1,Skills!$K$20=1),Skills!$B$14&amp;", ","")&amp;IF(AND(BH277=1,Skills!$L$20=1),Skills!$B$15&amp;", ","")&amp;IF(AND(BI277=1,Skills!$M$20=1),Skills!$B$16&amp;", ",""))-2)))</f>
        <v/>
      </c>
    </row>
    <row r="278">
      <c r="AD278" s="20" t="n"/>
      <c r="AE278" s="20" t="n"/>
      <c r="AF278" s="20" t="n"/>
      <c r="AG278" s="20" t="n"/>
      <c r="AH278" s="20" t="n"/>
      <c r="AI278" s="20" t="n"/>
      <c r="AJ278" s="20" t="n"/>
      <c r="AK278" s="20" t="n"/>
      <c r="AL278" s="20" t="n"/>
      <c r="AM278" s="20" t="n"/>
      <c r="AN278" s="20" t="n"/>
      <c r="AO278" s="20" t="n"/>
      <c r="AP278" s="20" t="n"/>
      <c r="AR278" s="31">
        <f>IF(IFERROR(TRIM(INDEX($A278:$AB278,MATCH(Lists!$B$5,$A$1:$AB$1,0))&amp;""),"")&lt;&gt;"",IFERROR(TRIM(INDEX($A278:$AB278,MATCH(Lists!$B$5,$A$1:$AB$1,0))&amp;""),""),IFERROR(TRIM(INDEX($A278:$AB278,MATCH(Lists!$B$3,$A$1:$AB$1,0))&amp;""),""))</f>
        <v/>
      </c>
      <c r="AS278" s="31">
        <f>IF(AR278="","",IF(IFERROR(TRIM(INDEX($A278:$AB278,MATCH(Lists!$B$5,$A$1:$AB$1,0))&amp;""),"")&lt;&gt;"","Nominated","Applied"))</f>
        <v/>
      </c>
      <c r="AT278" s="31">
        <f>IF(AR278="","",IF(IFERROR(TRIM(INDEX($A278:$AB278,MATCH(Lists!$B$5,$A$1:$AB$1,0))&amp;""),"")&lt;&gt;"",IFERROR(TRIM(INDEX($A278:$AB278,MATCH(Lists!$B$6,$A$1:$AB$1,0))&amp;""),""),IFERROR(TRIM(INDEX($A278:$AB278,MATCH(Lists!$B$4,$A$1:$AB$1,0))&amp;""),"")))</f>
        <v/>
      </c>
      <c r="AU278" s="31">
        <f>IF(AR278="","",IFERROR(TRIM(INDEX($A278:$AB278,MATCH(Lists!$B$7,$A$1:$AB$1,0))&amp;""),""))</f>
        <v/>
      </c>
      <c r="AV278" s="31">
        <f>IF(AR278="","",IFERROR(TRIM(INDEX($A278:$AB278,MATCH(Lists!$B$9,$A$1:$AB$1,0))&amp;""),""))</f>
        <v/>
      </c>
      <c r="AW278" s="31">
        <f>IF(AR278="","",IFERROR(TRIM(INDEX($A278:$AB278,MATCH(Lists!$B$8,$A$1:$AB$1,0))&amp;""),""))</f>
        <v/>
      </c>
      <c r="AX278" s="23">
        <f>IF(AR278="","",IF(OR(TRIM(AE278&amp;"")&lt;&gt;"",AND(Skills!$B$5&lt;&gt;"",ISNUMBER(SEARCH(Skills!$B$5,AU278)))),1,0))</f>
        <v/>
      </c>
      <c r="AY278" s="23">
        <f>IF(AR278="","",IF(OR(TRIM(AF278&amp;"")&lt;&gt;"",AND(Skills!$B$6&lt;&gt;"",ISNUMBER(SEARCH(Skills!$B$6,AU278)))),1,0))</f>
        <v/>
      </c>
      <c r="AZ278" s="23">
        <f>IF(AR278="","",IF(OR(TRIM(AG278&amp;"")&lt;&gt;"",AND(Skills!$B$7&lt;&gt;"",ISNUMBER(SEARCH(Skills!$B$7,AU278)))),1,0))</f>
        <v/>
      </c>
      <c r="BA278" s="23">
        <f>IF(AR278="","",IF(OR(TRIM(AH278&amp;"")&lt;&gt;"",AND(Skills!$B$8&lt;&gt;"",ISNUMBER(SEARCH(Skills!$B$8,AU278)))),1,0))</f>
        <v/>
      </c>
      <c r="BB278" s="23">
        <f>IF(AR278="","",IF(OR(TRIM(AI278&amp;"")&lt;&gt;"",AND(Skills!$B$9&lt;&gt;"",ISNUMBER(SEARCH(Skills!$B$9,AU278)))),1,0))</f>
        <v/>
      </c>
      <c r="BC278" s="23">
        <f>IF(AR278="","",IF(OR(TRIM(AJ278&amp;"")&lt;&gt;"",AND(Skills!$B$10&lt;&gt;"",ISNUMBER(SEARCH(Skills!$B$10,AU278)))),1,0))</f>
        <v/>
      </c>
      <c r="BD278" s="23">
        <f>IF(AR278="","",IF(OR(TRIM(AK278&amp;"")&lt;&gt;"",AND(Skills!$B$11&lt;&gt;"",ISNUMBER(SEARCH(Skills!$B$11,AU278)))),1,0))</f>
        <v/>
      </c>
      <c r="BE278" s="23">
        <f>IF(AR278="","",IF(OR(TRIM(AL278&amp;"")&lt;&gt;"",AND(Skills!$B$12&lt;&gt;"",ISNUMBER(SEARCH(Skills!$B$12,AU278)))),1,0))</f>
        <v/>
      </c>
      <c r="BF278" s="23">
        <f>IF(AR278="","",IF(OR(TRIM(AM278&amp;"")&lt;&gt;"",AND(Skills!$B$13&lt;&gt;"",ISNUMBER(SEARCH(Skills!$B$13,AU278)))),1,0))</f>
        <v/>
      </c>
      <c r="BG278" s="23">
        <f>IF(AR278="","",IF(OR(TRIM(AN278&amp;"")&lt;&gt;"",AND(Skills!$B$14&lt;&gt;"",ISNUMBER(SEARCH(Skills!$B$14,AU278)))),1,0))</f>
        <v/>
      </c>
      <c r="BH278" s="23">
        <f>IF(AR278="","",IF(OR(TRIM(AO278&amp;"")&lt;&gt;"",AND(Skills!$B$15&lt;&gt;"",ISNUMBER(SEARCH(Skills!$B$15,AU278)))),1,0))</f>
        <v/>
      </c>
      <c r="BI278" s="23">
        <f>IF(AR278="","",IF(OR(TRIM(AP278&amp;"")&lt;&gt;"",AND(Skills!$B$16&lt;&gt;"",ISNUMBER(SEARCH(Skills!$B$16,AU278)))),1,0))</f>
        <v/>
      </c>
      <c r="BJ278" s="23">
        <f>IF(AR278="","",SUMPRODUCT($AX278:$BI278,Skills!$B$20:$M$20))</f>
        <v/>
      </c>
      <c r="BK278" s="23">
        <f>IF(AR278="","",BJ278*100000+(100000-ROW()))</f>
        <v/>
      </c>
      <c r="BL278" s="31">
        <f>IF(AR278="","",IF((IF(AND(AX278=1,Skills!$B$20=1),Skills!$B$5&amp;", ","")&amp;IF(AND(AY278=1,Skills!$C$20=1),Skills!$B$6&amp;", ","")&amp;IF(AND(AZ278=1,Skills!$D$20=1),Skills!$B$7&amp;", ","")&amp;IF(AND(BA278=1,Skills!$E$20=1),Skills!$B$8&amp;", ","")&amp;IF(AND(BB278=1,Skills!$F$20=1),Skills!$B$9&amp;", ","")&amp;IF(AND(BC278=1,Skills!$G$20=1),Skills!$B$10&amp;", ","")&amp;IF(AND(BD278=1,Skills!$H$20=1),Skills!$B$11&amp;", ","")&amp;IF(AND(BE278=1,Skills!$I$20=1),Skills!$B$12&amp;", ","")&amp;IF(AND(BF278=1,Skills!$J$20=1),Skills!$B$13&amp;", ","")&amp;IF(AND(BG278=1,Skills!$K$20=1),Skills!$B$14&amp;", ","")&amp;IF(AND(BH278=1,Skills!$L$20=1),Skills!$B$15&amp;", ","")&amp;IF(AND(BI278=1,Skills!$M$20=1),Skills!$B$16&amp;", ",""))="","",LEFT(IF(AND(AX278=1,Skills!$B$20=1),Skills!$B$5&amp;", ","")&amp;IF(AND(AY278=1,Skills!$C$20=1),Skills!$B$6&amp;", ","")&amp;IF(AND(AZ278=1,Skills!$D$20=1),Skills!$B$7&amp;", ","")&amp;IF(AND(BA278=1,Skills!$E$20=1),Skills!$B$8&amp;", ","")&amp;IF(AND(BB278=1,Skills!$F$20=1),Skills!$B$9&amp;", ","")&amp;IF(AND(BC278=1,Skills!$G$20=1),Skills!$B$10&amp;", ","")&amp;IF(AND(BD278=1,Skills!$H$20=1),Skills!$B$11&amp;", ","")&amp;IF(AND(BE278=1,Skills!$I$20=1),Skills!$B$12&amp;", ","")&amp;IF(AND(BF278=1,Skills!$J$20=1),Skills!$B$13&amp;", ","")&amp;IF(AND(BG278=1,Skills!$K$20=1),Skills!$B$14&amp;", ","")&amp;IF(AND(BH278=1,Skills!$L$20=1),Skills!$B$15&amp;", ","")&amp;IF(AND(BI278=1,Skills!$M$20=1),Skills!$B$16&amp;", ",""),LEN(IF(AND(AX278=1,Skills!$B$20=1),Skills!$B$5&amp;", ","")&amp;IF(AND(AY278=1,Skills!$C$20=1),Skills!$B$6&amp;", ","")&amp;IF(AND(AZ278=1,Skills!$D$20=1),Skills!$B$7&amp;", ","")&amp;IF(AND(BA278=1,Skills!$E$20=1),Skills!$B$8&amp;", ","")&amp;IF(AND(BB278=1,Skills!$F$20=1),Skills!$B$9&amp;", ","")&amp;IF(AND(BC278=1,Skills!$G$20=1),Skills!$B$10&amp;", ","")&amp;IF(AND(BD278=1,Skills!$H$20=1),Skills!$B$11&amp;", ","")&amp;IF(AND(BE278=1,Skills!$I$20=1),Skills!$B$12&amp;", ","")&amp;IF(AND(BF278=1,Skills!$J$20=1),Skills!$B$13&amp;", ","")&amp;IF(AND(BG278=1,Skills!$K$20=1),Skills!$B$14&amp;", ","")&amp;IF(AND(BH278=1,Skills!$L$20=1),Skills!$B$15&amp;", ","")&amp;IF(AND(BI278=1,Skills!$M$20=1),Skills!$B$16&amp;", ",""))-2)))</f>
        <v/>
      </c>
    </row>
    <row r="279">
      <c r="AD279" s="20" t="n"/>
      <c r="AE279" s="20" t="n"/>
      <c r="AF279" s="20" t="n"/>
      <c r="AG279" s="20" t="n"/>
      <c r="AH279" s="20" t="n"/>
      <c r="AI279" s="20" t="n"/>
      <c r="AJ279" s="20" t="n"/>
      <c r="AK279" s="20" t="n"/>
      <c r="AL279" s="20" t="n"/>
      <c r="AM279" s="20" t="n"/>
      <c r="AN279" s="20" t="n"/>
      <c r="AO279" s="20" t="n"/>
      <c r="AP279" s="20" t="n"/>
      <c r="AR279" s="31">
        <f>IF(IFERROR(TRIM(INDEX($A279:$AB279,MATCH(Lists!$B$5,$A$1:$AB$1,0))&amp;""),"")&lt;&gt;"",IFERROR(TRIM(INDEX($A279:$AB279,MATCH(Lists!$B$5,$A$1:$AB$1,0))&amp;""),""),IFERROR(TRIM(INDEX($A279:$AB279,MATCH(Lists!$B$3,$A$1:$AB$1,0))&amp;""),""))</f>
        <v/>
      </c>
      <c r="AS279" s="31">
        <f>IF(AR279="","",IF(IFERROR(TRIM(INDEX($A279:$AB279,MATCH(Lists!$B$5,$A$1:$AB$1,0))&amp;""),"")&lt;&gt;"","Nominated","Applied"))</f>
        <v/>
      </c>
      <c r="AT279" s="31">
        <f>IF(AR279="","",IF(IFERROR(TRIM(INDEX($A279:$AB279,MATCH(Lists!$B$5,$A$1:$AB$1,0))&amp;""),"")&lt;&gt;"",IFERROR(TRIM(INDEX($A279:$AB279,MATCH(Lists!$B$6,$A$1:$AB$1,0))&amp;""),""),IFERROR(TRIM(INDEX($A279:$AB279,MATCH(Lists!$B$4,$A$1:$AB$1,0))&amp;""),"")))</f>
        <v/>
      </c>
      <c r="AU279" s="31">
        <f>IF(AR279="","",IFERROR(TRIM(INDEX($A279:$AB279,MATCH(Lists!$B$7,$A$1:$AB$1,0))&amp;""),""))</f>
        <v/>
      </c>
      <c r="AV279" s="31">
        <f>IF(AR279="","",IFERROR(TRIM(INDEX($A279:$AB279,MATCH(Lists!$B$9,$A$1:$AB$1,0))&amp;""),""))</f>
        <v/>
      </c>
      <c r="AW279" s="31">
        <f>IF(AR279="","",IFERROR(TRIM(INDEX($A279:$AB279,MATCH(Lists!$B$8,$A$1:$AB$1,0))&amp;""),""))</f>
        <v/>
      </c>
      <c r="AX279" s="23">
        <f>IF(AR279="","",IF(OR(TRIM(AE279&amp;"")&lt;&gt;"",AND(Skills!$B$5&lt;&gt;"",ISNUMBER(SEARCH(Skills!$B$5,AU279)))),1,0))</f>
        <v/>
      </c>
      <c r="AY279" s="23">
        <f>IF(AR279="","",IF(OR(TRIM(AF279&amp;"")&lt;&gt;"",AND(Skills!$B$6&lt;&gt;"",ISNUMBER(SEARCH(Skills!$B$6,AU279)))),1,0))</f>
        <v/>
      </c>
      <c r="AZ279" s="23">
        <f>IF(AR279="","",IF(OR(TRIM(AG279&amp;"")&lt;&gt;"",AND(Skills!$B$7&lt;&gt;"",ISNUMBER(SEARCH(Skills!$B$7,AU279)))),1,0))</f>
        <v/>
      </c>
      <c r="BA279" s="23">
        <f>IF(AR279="","",IF(OR(TRIM(AH279&amp;"")&lt;&gt;"",AND(Skills!$B$8&lt;&gt;"",ISNUMBER(SEARCH(Skills!$B$8,AU279)))),1,0))</f>
        <v/>
      </c>
      <c r="BB279" s="23">
        <f>IF(AR279="","",IF(OR(TRIM(AI279&amp;"")&lt;&gt;"",AND(Skills!$B$9&lt;&gt;"",ISNUMBER(SEARCH(Skills!$B$9,AU279)))),1,0))</f>
        <v/>
      </c>
      <c r="BC279" s="23">
        <f>IF(AR279="","",IF(OR(TRIM(AJ279&amp;"")&lt;&gt;"",AND(Skills!$B$10&lt;&gt;"",ISNUMBER(SEARCH(Skills!$B$10,AU279)))),1,0))</f>
        <v/>
      </c>
      <c r="BD279" s="23">
        <f>IF(AR279="","",IF(OR(TRIM(AK279&amp;"")&lt;&gt;"",AND(Skills!$B$11&lt;&gt;"",ISNUMBER(SEARCH(Skills!$B$11,AU279)))),1,0))</f>
        <v/>
      </c>
      <c r="BE279" s="23">
        <f>IF(AR279="","",IF(OR(TRIM(AL279&amp;"")&lt;&gt;"",AND(Skills!$B$12&lt;&gt;"",ISNUMBER(SEARCH(Skills!$B$12,AU279)))),1,0))</f>
        <v/>
      </c>
      <c r="BF279" s="23">
        <f>IF(AR279="","",IF(OR(TRIM(AM279&amp;"")&lt;&gt;"",AND(Skills!$B$13&lt;&gt;"",ISNUMBER(SEARCH(Skills!$B$13,AU279)))),1,0))</f>
        <v/>
      </c>
      <c r="BG279" s="23">
        <f>IF(AR279="","",IF(OR(TRIM(AN279&amp;"")&lt;&gt;"",AND(Skills!$B$14&lt;&gt;"",ISNUMBER(SEARCH(Skills!$B$14,AU279)))),1,0))</f>
        <v/>
      </c>
      <c r="BH279" s="23">
        <f>IF(AR279="","",IF(OR(TRIM(AO279&amp;"")&lt;&gt;"",AND(Skills!$B$15&lt;&gt;"",ISNUMBER(SEARCH(Skills!$B$15,AU279)))),1,0))</f>
        <v/>
      </c>
      <c r="BI279" s="23">
        <f>IF(AR279="","",IF(OR(TRIM(AP279&amp;"")&lt;&gt;"",AND(Skills!$B$16&lt;&gt;"",ISNUMBER(SEARCH(Skills!$B$16,AU279)))),1,0))</f>
        <v/>
      </c>
      <c r="BJ279" s="23">
        <f>IF(AR279="","",SUMPRODUCT($AX279:$BI279,Skills!$B$20:$M$20))</f>
        <v/>
      </c>
      <c r="BK279" s="23">
        <f>IF(AR279="","",BJ279*100000+(100000-ROW()))</f>
        <v/>
      </c>
      <c r="BL279" s="31">
        <f>IF(AR279="","",IF((IF(AND(AX279=1,Skills!$B$20=1),Skills!$B$5&amp;", ","")&amp;IF(AND(AY279=1,Skills!$C$20=1),Skills!$B$6&amp;", ","")&amp;IF(AND(AZ279=1,Skills!$D$20=1),Skills!$B$7&amp;", ","")&amp;IF(AND(BA279=1,Skills!$E$20=1),Skills!$B$8&amp;", ","")&amp;IF(AND(BB279=1,Skills!$F$20=1),Skills!$B$9&amp;", ","")&amp;IF(AND(BC279=1,Skills!$G$20=1),Skills!$B$10&amp;", ","")&amp;IF(AND(BD279=1,Skills!$H$20=1),Skills!$B$11&amp;", ","")&amp;IF(AND(BE279=1,Skills!$I$20=1),Skills!$B$12&amp;", ","")&amp;IF(AND(BF279=1,Skills!$J$20=1),Skills!$B$13&amp;", ","")&amp;IF(AND(BG279=1,Skills!$K$20=1),Skills!$B$14&amp;", ","")&amp;IF(AND(BH279=1,Skills!$L$20=1),Skills!$B$15&amp;", ","")&amp;IF(AND(BI279=1,Skills!$M$20=1),Skills!$B$16&amp;", ",""))="","",LEFT(IF(AND(AX279=1,Skills!$B$20=1),Skills!$B$5&amp;", ","")&amp;IF(AND(AY279=1,Skills!$C$20=1),Skills!$B$6&amp;", ","")&amp;IF(AND(AZ279=1,Skills!$D$20=1),Skills!$B$7&amp;", ","")&amp;IF(AND(BA279=1,Skills!$E$20=1),Skills!$B$8&amp;", ","")&amp;IF(AND(BB279=1,Skills!$F$20=1),Skills!$B$9&amp;", ","")&amp;IF(AND(BC279=1,Skills!$G$20=1),Skills!$B$10&amp;", ","")&amp;IF(AND(BD279=1,Skills!$H$20=1),Skills!$B$11&amp;", ","")&amp;IF(AND(BE279=1,Skills!$I$20=1),Skills!$B$12&amp;", ","")&amp;IF(AND(BF279=1,Skills!$J$20=1),Skills!$B$13&amp;", ","")&amp;IF(AND(BG279=1,Skills!$K$20=1),Skills!$B$14&amp;", ","")&amp;IF(AND(BH279=1,Skills!$L$20=1),Skills!$B$15&amp;", ","")&amp;IF(AND(BI279=1,Skills!$M$20=1),Skills!$B$16&amp;", ",""),LEN(IF(AND(AX279=1,Skills!$B$20=1),Skills!$B$5&amp;", ","")&amp;IF(AND(AY279=1,Skills!$C$20=1),Skills!$B$6&amp;", ","")&amp;IF(AND(AZ279=1,Skills!$D$20=1),Skills!$B$7&amp;", ","")&amp;IF(AND(BA279=1,Skills!$E$20=1),Skills!$B$8&amp;", ","")&amp;IF(AND(BB279=1,Skills!$F$20=1),Skills!$B$9&amp;", ","")&amp;IF(AND(BC279=1,Skills!$G$20=1),Skills!$B$10&amp;", ","")&amp;IF(AND(BD279=1,Skills!$H$20=1),Skills!$B$11&amp;", ","")&amp;IF(AND(BE279=1,Skills!$I$20=1),Skills!$B$12&amp;", ","")&amp;IF(AND(BF279=1,Skills!$J$20=1),Skills!$B$13&amp;", ","")&amp;IF(AND(BG279=1,Skills!$K$20=1),Skills!$B$14&amp;", ","")&amp;IF(AND(BH279=1,Skills!$L$20=1),Skills!$B$15&amp;", ","")&amp;IF(AND(BI279=1,Skills!$M$20=1),Skills!$B$16&amp;", ",""))-2)))</f>
        <v/>
      </c>
    </row>
    <row r="280">
      <c r="AD280" s="20" t="n"/>
      <c r="AE280" s="20" t="n"/>
      <c r="AF280" s="20" t="n"/>
      <c r="AG280" s="20" t="n"/>
      <c r="AH280" s="20" t="n"/>
      <c r="AI280" s="20" t="n"/>
      <c r="AJ280" s="20" t="n"/>
      <c r="AK280" s="20" t="n"/>
      <c r="AL280" s="20" t="n"/>
      <c r="AM280" s="20" t="n"/>
      <c r="AN280" s="20" t="n"/>
      <c r="AO280" s="20" t="n"/>
      <c r="AP280" s="20" t="n"/>
      <c r="AR280" s="31">
        <f>IF(IFERROR(TRIM(INDEX($A280:$AB280,MATCH(Lists!$B$5,$A$1:$AB$1,0))&amp;""),"")&lt;&gt;"",IFERROR(TRIM(INDEX($A280:$AB280,MATCH(Lists!$B$5,$A$1:$AB$1,0))&amp;""),""),IFERROR(TRIM(INDEX($A280:$AB280,MATCH(Lists!$B$3,$A$1:$AB$1,0))&amp;""),""))</f>
        <v/>
      </c>
      <c r="AS280" s="31">
        <f>IF(AR280="","",IF(IFERROR(TRIM(INDEX($A280:$AB280,MATCH(Lists!$B$5,$A$1:$AB$1,0))&amp;""),"")&lt;&gt;"","Nominated","Applied"))</f>
        <v/>
      </c>
      <c r="AT280" s="31">
        <f>IF(AR280="","",IF(IFERROR(TRIM(INDEX($A280:$AB280,MATCH(Lists!$B$5,$A$1:$AB$1,0))&amp;""),"")&lt;&gt;"",IFERROR(TRIM(INDEX($A280:$AB280,MATCH(Lists!$B$6,$A$1:$AB$1,0))&amp;""),""),IFERROR(TRIM(INDEX($A280:$AB280,MATCH(Lists!$B$4,$A$1:$AB$1,0))&amp;""),"")))</f>
        <v/>
      </c>
      <c r="AU280" s="31">
        <f>IF(AR280="","",IFERROR(TRIM(INDEX($A280:$AB280,MATCH(Lists!$B$7,$A$1:$AB$1,0))&amp;""),""))</f>
        <v/>
      </c>
      <c r="AV280" s="31">
        <f>IF(AR280="","",IFERROR(TRIM(INDEX($A280:$AB280,MATCH(Lists!$B$9,$A$1:$AB$1,0))&amp;""),""))</f>
        <v/>
      </c>
      <c r="AW280" s="31">
        <f>IF(AR280="","",IFERROR(TRIM(INDEX($A280:$AB280,MATCH(Lists!$B$8,$A$1:$AB$1,0))&amp;""),""))</f>
        <v/>
      </c>
      <c r="AX280" s="23">
        <f>IF(AR280="","",IF(OR(TRIM(AE280&amp;"")&lt;&gt;"",AND(Skills!$B$5&lt;&gt;"",ISNUMBER(SEARCH(Skills!$B$5,AU280)))),1,0))</f>
        <v/>
      </c>
      <c r="AY280" s="23">
        <f>IF(AR280="","",IF(OR(TRIM(AF280&amp;"")&lt;&gt;"",AND(Skills!$B$6&lt;&gt;"",ISNUMBER(SEARCH(Skills!$B$6,AU280)))),1,0))</f>
        <v/>
      </c>
      <c r="AZ280" s="23">
        <f>IF(AR280="","",IF(OR(TRIM(AG280&amp;"")&lt;&gt;"",AND(Skills!$B$7&lt;&gt;"",ISNUMBER(SEARCH(Skills!$B$7,AU280)))),1,0))</f>
        <v/>
      </c>
      <c r="BA280" s="23">
        <f>IF(AR280="","",IF(OR(TRIM(AH280&amp;"")&lt;&gt;"",AND(Skills!$B$8&lt;&gt;"",ISNUMBER(SEARCH(Skills!$B$8,AU280)))),1,0))</f>
        <v/>
      </c>
      <c r="BB280" s="23">
        <f>IF(AR280="","",IF(OR(TRIM(AI280&amp;"")&lt;&gt;"",AND(Skills!$B$9&lt;&gt;"",ISNUMBER(SEARCH(Skills!$B$9,AU280)))),1,0))</f>
        <v/>
      </c>
      <c r="BC280" s="23">
        <f>IF(AR280="","",IF(OR(TRIM(AJ280&amp;"")&lt;&gt;"",AND(Skills!$B$10&lt;&gt;"",ISNUMBER(SEARCH(Skills!$B$10,AU280)))),1,0))</f>
        <v/>
      </c>
      <c r="BD280" s="23">
        <f>IF(AR280="","",IF(OR(TRIM(AK280&amp;"")&lt;&gt;"",AND(Skills!$B$11&lt;&gt;"",ISNUMBER(SEARCH(Skills!$B$11,AU280)))),1,0))</f>
        <v/>
      </c>
      <c r="BE280" s="23">
        <f>IF(AR280="","",IF(OR(TRIM(AL280&amp;"")&lt;&gt;"",AND(Skills!$B$12&lt;&gt;"",ISNUMBER(SEARCH(Skills!$B$12,AU280)))),1,0))</f>
        <v/>
      </c>
      <c r="BF280" s="23">
        <f>IF(AR280="","",IF(OR(TRIM(AM280&amp;"")&lt;&gt;"",AND(Skills!$B$13&lt;&gt;"",ISNUMBER(SEARCH(Skills!$B$13,AU280)))),1,0))</f>
        <v/>
      </c>
      <c r="BG280" s="23">
        <f>IF(AR280="","",IF(OR(TRIM(AN280&amp;"")&lt;&gt;"",AND(Skills!$B$14&lt;&gt;"",ISNUMBER(SEARCH(Skills!$B$14,AU280)))),1,0))</f>
        <v/>
      </c>
      <c r="BH280" s="23">
        <f>IF(AR280="","",IF(OR(TRIM(AO280&amp;"")&lt;&gt;"",AND(Skills!$B$15&lt;&gt;"",ISNUMBER(SEARCH(Skills!$B$15,AU280)))),1,0))</f>
        <v/>
      </c>
      <c r="BI280" s="23">
        <f>IF(AR280="","",IF(OR(TRIM(AP280&amp;"")&lt;&gt;"",AND(Skills!$B$16&lt;&gt;"",ISNUMBER(SEARCH(Skills!$B$16,AU280)))),1,0))</f>
        <v/>
      </c>
      <c r="BJ280" s="23">
        <f>IF(AR280="","",SUMPRODUCT($AX280:$BI280,Skills!$B$20:$M$20))</f>
        <v/>
      </c>
      <c r="BK280" s="23">
        <f>IF(AR280="","",BJ280*100000+(100000-ROW()))</f>
        <v/>
      </c>
      <c r="BL280" s="31">
        <f>IF(AR280="","",IF((IF(AND(AX280=1,Skills!$B$20=1),Skills!$B$5&amp;", ","")&amp;IF(AND(AY280=1,Skills!$C$20=1),Skills!$B$6&amp;", ","")&amp;IF(AND(AZ280=1,Skills!$D$20=1),Skills!$B$7&amp;", ","")&amp;IF(AND(BA280=1,Skills!$E$20=1),Skills!$B$8&amp;", ","")&amp;IF(AND(BB280=1,Skills!$F$20=1),Skills!$B$9&amp;", ","")&amp;IF(AND(BC280=1,Skills!$G$20=1),Skills!$B$10&amp;", ","")&amp;IF(AND(BD280=1,Skills!$H$20=1),Skills!$B$11&amp;", ","")&amp;IF(AND(BE280=1,Skills!$I$20=1),Skills!$B$12&amp;", ","")&amp;IF(AND(BF280=1,Skills!$J$20=1),Skills!$B$13&amp;", ","")&amp;IF(AND(BG280=1,Skills!$K$20=1),Skills!$B$14&amp;", ","")&amp;IF(AND(BH280=1,Skills!$L$20=1),Skills!$B$15&amp;", ","")&amp;IF(AND(BI280=1,Skills!$M$20=1),Skills!$B$16&amp;", ",""))="","",LEFT(IF(AND(AX280=1,Skills!$B$20=1),Skills!$B$5&amp;", ","")&amp;IF(AND(AY280=1,Skills!$C$20=1),Skills!$B$6&amp;", ","")&amp;IF(AND(AZ280=1,Skills!$D$20=1),Skills!$B$7&amp;", ","")&amp;IF(AND(BA280=1,Skills!$E$20=1),Skills!$B$8&amp;", ","")&amp;IF(AND(BB280=1,Skills!$F$20=1),Skills!$B$9&amp;", ","")&amp;IF(AND(BC280=1,Skills!$G$20=1),Skills!$B$10&amp;", ","")&amp;IF(AND(BD280=1,Skills!$H$20=1),Skills!$B$11&amp;", ","")&amp;IF(AND(BE280=1,Skills!$I$20=1),Skills!$B$12&amp;", ","")&amp;IF(AND(BF280=1,Skills!$J$20=1),Skills!$B$13&amp;", ","")&amp;IF(AND(BG280=1,Skills!$K$20=1),Skills!$B$14&amp;", ","")&amp;IF(AND(BH280=1,Skills!$L$20=1),Skills!$B$15&amp;", ","")&amp;IF(AND(BI280=1,Skills!$M$20=1),Skills!$B$16&amp;", ",""),LEN(IF(AND(AX280=1,Skills!$B$20=1),Skills!$B$5&amp;", ","")&amp;IF(AND(AY280=1,Skills!$C$20=1),Skills!$B$6&amp;", ","")&amp;IF(AND(AZ280=1,Skills!$D$20=1),Skills!$B$7&amp;", ","")&amp;IF(AND(BA280=1,Skills!$E$20=1),Skills!$B$8&amp;", ","")&amp;IF(AND(BB280=1,Skills!$F$20=1),Skills!$B$9&amp;", ","")&amp;IF(AND(BC280=1,Skills!$G$20=1),Skills!$B$10&amp;", ","")&amp;IF(AND(BD280=1,Skills!$H$20=1),Skills!$B$11&amp;", ","")&amp;IF(AND(BE280=1,Skills!$I$20=1),Skills!$B$12&amp;", ","")&amp;IF(AND(BF280=1,Skills!$J$20=1),Skills!$B$13&amp;", ","")&amp;IF(AND(BG280=1,Skills!$K$20=1),Skills!$B$14&amp;", ","")&amp;IF(AND(BH280=1,Skills!$L$20=1),Skills!$B$15&amp;", ","")&amp;IF(AND(BI280=1,Skills!$M$20=1),Skills!$B$16&amp;", ",""))-2)))</f>
        <v/>
      </c>
    </row>
    <row r="281">
      <c r="AD281" s="20" t="n"/>
      <c r="AE281" s="20" t="n"/>
      <c r="AF281" s="20" t="n"/>
      <c r="AG281" s="20" t="n"/>
      <c r="AH281" s="20" t="n"/>
      <c r="AI281" s="20" t="n"/>
      <c r="AJ281" s="20" t="n"/>
      <c r="AK281" s="20" t="n"/>
      <c r="AL281" s="20" t="n"/>
      <c r="AM281" s="20" t="n"/>
      <c r="AN281" s="20" t="n"/>
      <c r="AO281" s="20" t="n"/>
      <c r="AP281" s="20" t="n"/>
      <c r="AR281" s="31">
        <f>IF(IFERROR(TRIM(INDEX($A281:$AB281,MATCH(Lists!$B$5,$A$1:$AB$1,0))&amp;""),"")&lt;&gt;"",IFERROR(TRIM(INDEX($A281:$AB281,MATCH(Lists!$B$5,$A$1:$AB$1,0))&amp;""),""),IFERROR(TRIM(INDEX($A281:$AB281,MATCH(Lists!$B$3,$A$1:$AB$1,0))&amp;""),""))</f>
        <v/>
      </c>
      <c r="AS281" s="31">
        <f>IF(AR281="","",IF(IFERROR(TRIM(INDEX($A281:$AB281,MATCH(Lists!$B$5,$A$1:$AB$1,0))&amp;""),"")&lt;&gt;"","Nominated","Applied"))</f>
        <v/>
      </c>
      <c r="AT281" s="31">
        <f>IF(AR281="","",IF(IFERROR(TRIM(INDEX($A281:$AB281,MATCH(Lists!$B$5,$A$1:$AB$1,0))&amp;""),"")&lt;&gt;"",IFERROR(TRIM(INDEX($A281:$AB281,MATCH(Lists!$B$6,$A$1:$AB$1,0))&amp;""),""),IFERROR(TRIM(INDEX($A281:$AB281,MATCH(Lists!$B$4,$A$1:$AB$1,0))&amp;""),"")))</f>
        <v/>
      </c>
      <c r="AU281" s="31">
        <f>IF(AR281="","",IFERROR(TRIM(INDEX($A281:$AB281,MATCH(Lists!$B$7,$A$1:$AB$1,0))&amp;""),""))</f>
        <v/>
      </c>
      <c r="AV281" s="31">
        <f>IF(AR281="","",IFERROR(TRIM(INDEX($A281:$AB281,MATCH(Lists!$B$9,$A$1:$AB$1,0))&amp;""),""))</f>
        <v/>
      </c>
      <c r="AW281" s="31">
        <f>IF(AR281="","",IFERROR(TRIM(INDEX($A281:$AB281,MATCH(Lists!$B$8,$A$1:$AB$1,0))&amp;""),""))</f>
        <v/>
      </c>
      <c r="AX281" s="23">
        <f>IF(AR281="","",IF(OR(TRIM(AE281&amp;"")&lt;&gt;"",AND(Skills!$B$5&lt;&gt;"",ISNUMBER(SEARCH(Skills!$B$5,AU281)))),1,0))</f>
        <v/>
      </c>
      <c r="AY281" s="23">
        <f>IF(AR281="","",IF(OR(TRIM(AF281&amp;"")&lt;&gt;"",AND(Skills!$B$6&lt;&gt;"",ISNUMBER(SEARCH(Skills!$B$6,AU281)))),1,0))</f>
        <v/>
      </c>
      <c r="AZ281" s="23">
        <f>IF(AR281="","",IF(OR(TRIM(AG281&amp;"")&lt;&gt;"",AND(Skills!$B$7&lt;&gt;"",ISNUMBER(SEARCH(Skills!$B$7,AU281)))),1,0))</f>
        <v/>
      </c>
      <c r="BA281" s="23">
        <f>IF(AR281="","",IF(OR(TRIM(AH281&amp;"")&lt;&gt;"",AND(Skills!$B$8&lt;&gt;"",ISNUMBER(SEARCH(Skills!$B$8,AU281)))),1,0))</f>
        <v/>
      </c>
      <c r="BB281" s="23">
        <f>IF(AR281="","",IF(OR(TRIM(AI281&amp;"")&lt;&gt;"",AND(Skills!$B$9&lt;&gt;"",ISNUMBER(SEARCH(Skills!$B$9,AU281)))),1,0))</f>
        <v/>
      </c>
      <c r="BC281" s="23">
        <f>IF(AR281="","",IF(OR(TRIM(AJ281&amp;"")&lt;&gt;"",AND(Skills!$B$10&lt;&gt;"",ISNUMBER(SEARCH(Skills!$B$10,AU281)))),1,0))</f>
        <v/>
      </c>
      <c r="BD281" s="23">
        <f>IF(AR281="","",IF(OR(TRIM(AK281&amp;"")&lt;&gt;"",AND(Skills!$B$11&lt;&gt;"",ISNUMBER(SEARCH(Skills!$B$11,AU281)))),1,0))</f>
        <v/>
      </c>
      <c r="BE281" s="23">
        <f>IF(AR281="","",IF(OR(TRIM(AL281&amp;"")&lt;&gt;"",AND(Skills!$B$12&lt;&gt;"",ISNUMBER(SEARCH(Skills!$B$12,AU281)))),1,0))</f>
        <v/>
      </c>
      <c r="BF281" s="23">
        <f>IF(AR281="","",IF(OR(TRIM(AM281&amp;"")&lt;&gt;"",AND(Skills!$B$13&lt;&gt;"",ISNUMBER(SEARCH(Skills!$B$13,AU281)))),1,0))</f>
        <v/>
      </c>
      <c r="BG281" s="23">
        <f>IF(AR281="","",IF(OR(TRIM(AN281&amp;"")&lt;&gt;"",AND(Skills!$B$14&lt;&gt;"",ISNUMBER(SEARCH(Skills!$B$14,AU281)))),1,0))</f>
        <v/>
      </c>
      <c r="BH281" s="23">
        <f>IF(AR281="","",IF(OR(TRIM(AO281&amp;"")&lt;&gt;"",AND(Skills!$B$15&lt;&gt;"",ISNUMBER(SEARCH(Skills!$B$15,AU281)))),1,0))</f>
        <v/>
      </c>
      <c r="BI281" s="23">
        <f>IF(AR281="","",IF(OR(TRIM(AP281&amp;"")&lt;&gt;"",AND(Skills!$B$16&lt;&gt;"",ISNUMBER(SEARCH(Skills!$B$16,AU281)))),1,0))</f>
        <v/>
      </c>
      <c r="BJ281" s="23">
        <f>IF(AR281="","",SUMPRODUCT($AX281:$BI281,Skills!$B$20:$M$20))</f>
        <v/>
      </c>
      <c r="BK281" s="23">
        <f>IF(AR281="","",BJ281*100000+(100000-ROW()))</f>
        <v/>
      </c>
      <c r="BL281" s="31">
        <f>IF(AR281="","",IF((IF(AND(AX281=1,Skills!$B$20=1),Skills!$B$5&amp;", ","")&amp;IF(AND(AY281=1,Skills!$C$20=1),Skills!$B$6&amp;", ","")&amp;IF(AND(AZ281=1,Skills!$D$20=1),Skills!$B$7&amp;", ","")&amp;IF(AND(BA281=1,Skills!$E$20=1),Skills!$B$8&amp;", ","")&amp;IF(AND(BB281=1,Skills!$F$20=1),Skills!$B$9&amp;", ","")&amp;IF(AND(BC281=1,Skills!$G$20=1),Skills!$B$10&amp;", ","")&amp;IF(AND(BD281=1,Skills!$H$20=1),Skills!$B$11&amp;", ","")&amp;IF(AND(BE281=1,Skills!$I$20=1),Skills!$B$12&amp;", ","")&amp;IF(AND(BF281=1,Skills!$J$20=1),Skills!$B$13&amp;", ","")&amp;IF(AND(BG281=1,Skills!$K$20=1),Skills!$B$14&amp;", ","")&amp;IF(AND(BH281=1,Skills!$L$20=1),Skills!$B$15&amp;", ","")&amp;IF(AND(BI281=1,Skills!$M$20=1),Skills!$B$16&amp;", ",""))="","",LEFT(IF(AND(AX281=1,Skills!$B$20=1),Skills!$B$5&amp;", ","")&amp;IF(AND(AY281=1,Skills!$C$20=1),Skills!$B$6&amp;", ","")&amp;IF(AND(AZ281=1,Skills!$D$20=1),Skills!$B$7&amp;", ","")&amp;IF(AND(BA281=1,Skills!$E$20=1),Skills!$B$8&amp;", ","")&amp;IF(AND(BB281=1,Skills!$F$20=1),Skills!$B$9&amp;", ","")&amp;IF(AND(BC281=1,Skills!$G$20=1),Skills!$B$10&amp;", ","")&amp;IF(AND(BD281=1,Skills!$H$20=1),Skills!$B$11&amp;", ","")&amp;IF(AND(BE281=1,Skills!$I$20=1),Skills!$B$12&amp;", ","")&amp;IF(AND(BF281=1,Skills!$J$20=1),Skills!$B$13&amp;", ","")&amp;IF(AND(BG281=1,Skills!$K$20=1),Skills!$B$14&amp;", ","")&amp;IF(AND(BH281=1,Skills!$L$20=1),Skills!$B$15&amp;", ","")&amp;IF(AND(BI281=1,Skills!$M$20=1),Skills!$B$16&amp;", ",""),LEN(IF(AND(AX281=1,Skills!$B$20=1),Skills!$B$5&amp;", ","")&amp;IF(AND(AY281=1,Skills!$C$20=1),Skills!$B$6&amp;", ","")&amp;IF(AND(AZ281=1,Skills!$D$20=1),Skills!$B$7&amp;", ","")&amp;IF(AND(BA281=1,Skills!$E$20=1),Skills!$B$8&amp;", ","")&amp;IF(AND(BB281=1,Skills!$F$20=1),Skills!$B$9&amp;", ","")&amp;IF(AND(BC281=1,Skills!$G$20=1),Skills!$B$10&amp;", ","")&amp;IF(AND(BD281=1,Skills!$H$20=1),Skills!$B$11&amp;", ","")&amp;IF(AND(BE281=1,Skills!$I$20=1),Skills!$B$12&amp;", ","")&amp;IF(AND(BF281=1,Skills!$J$20=1),Skills!$B$13&amp;", ","")&amp;IF(AND(BG281=1,Skills!$K$20=1),Skills!$B$14&amp;", ","")&amp;IF(AND(BH281=1,Skills!$L$20=1),Skills!$B$15&amp;", ","")&amp;IF(AND(BI281=1,Skills!$M$20=1),Skills!$B$16&amp;", ",""))-2)))</f>
        <v/>
      </c>
    </row>
    <row r="282">
      <c r="AD282" s="20" t="n"/>
      <c r="AE282" s="20" t="n"/>
      <c r="AF282" s="20" t="n"/>
      <c r="AG282" s="20" t="n"/>
      <c r="AH282" s="20" t="n"/>
      <c r="AI282" s="20" t="n"/>
      <c r="AJ282" s="20" t="n"/>
      <c r="AK282" s="20" t="n"/>
      <c r="AL282" s="20" t="n"/>
      <c r="AM282" s="20" t="n"/>
      <c r="AN282" s="20" t="n"/>
      <c r="AO282" s="20" t="n"/>
      <c r="AP282" s="20" t="n"/>
      <c r="AR282" s="31">
        <f>IF(IFERROR(TRIM(INDEX($A282:$AB282,MATCH(Lists!$B$5,$A$1:$AB$1,0))&amp;""),"")&lt;&gt;"",IFERROR(TRIM(INDEX($A282:$AB282,MATCH(Lists!$B$5,$A$1:$AB$1,0))&amp;""),""),IFERROR(TRIM(INDEX($A282:$AB282,MATCH(Lists!$B$3,$A$1:$AB$1,0))&amp;""),""))</f>
        <v/>
      </c>
      <c r="AS282" s="31">
        <f>IF(AR282="","",IF(IFERROR(TRIM(INDEX($A282:$AB282,MATCH(Lists!$B$5,$A$1:$AB$1,0))&amp;""),"")&lt;&gt;"","Nominated","Applied"))</f>
        <v/>
      </c>
      <c r="AT282" s="31">
        <f>IF(AR282="","",IF(IFERROR(TRIM(INDEX($A282:$AB282,MATCH(Lists!$B$5,$A$1:$AB$1,0))&amp;""),"")&lt;&gt;"",IFERROR(TRIM(INDEX($A282:$AB282,MATCH(Lists!$B$6,$A$1:$AB$1,0))&amp;""),""),IFERROR(TRIM(INDEX($A282:$AB282,MATCH(Lists!$B$4,$A$1:$AB$1,0))&amp;""),"")))</f>
        <v/>
      </c>
      <c r="AU282" s="31">
        <f>IF(AR282="","",IFERROR(TRIM(INDEX($A282:$AB282,MATCH(Lists!$B$7,$A$1:$AB$1,0))&amp;""),""))</f>
        <v/>
      </c>
      <c r="AV282" s="31">
        <f>IF(AR282="","",IFERROR(TRIM(INDEX($A282:$AB282,MATCH(Lists!$B$9,$A$1:$AB$1,0))&amp;""),""))</f>
        <v/>
      </c>
      <c r="AW282" s="31">
        <f>IF(AR282="","",IFERROR(TRIM(INDEX($A282:$AB282,MATCH(Lists!$B$8,$A$1:$AB$1,0))&amp;""),""))</f>
        <v/>
      </c>
      <c r="AX282" s="23">
        <f>IF(AR282="","",IF(OR(TRIM(AE282&amp;"")&lt;&gt;"",AND(Skills!$B$5&lt;&gt;"",ISNUMBER(SEARCH(Skills!$B$5,AU282)))),1,0))</f>
        <v/>
      </c>
      <c r="AY282" s="23">
        <f>IF(AR282="","",IF(OR(TRIM(AF282&amp;"")&lt;&gt;"",AND(Skills!$B$6&lt;&gt;"",ISNUMBER(SEARCH(Skills!$B$6,AU282)))),1,0))</f>
        <v/>
      </c>
      <c r="AZ282" s="23">
        <f>IF(AR282="","",IF(OR(TRIM(AG282&amp;"")&lt;&gt;"",AND(Skills!$B$7&lt;&gt;"",ISNUMBER(SEARCH(Skills!$B$7,AU282)))),1,0))</f>
        <v/>
      </c>
      <c r="BA282" s="23">
        <f>IF(AR282="","",IF(OR(TRIM(AH282&amp;"")&lt;&gt;"",AND(Skills!$B$8&lt;&gt;"",ISNUMBER(SEARCH(Skills!$B$8,AU282)))),1,0))</f>
        <v/>
      </c>
      <c r="BB282" s="23">
        <f>IF(AR282="","",IF(OR(TRIM(AI282&amp;"")&lt;&gt;"",AND(Skills!$B$9&lt;&gt;"",ISNUMBER(SEARCH(Skills!$B$9,AU282)))),1,0))</f>
        <v/>
      </c>
      <c r="BC282" s="23">
        <f>IF(AR282="","",IF(OR(TRIM(AJ282&amp;"")&lt;&gt;"",AND(Skills!$B$10&lt;&gt;"",ISNUMBER(SEARCH(Skills!$B$10,AU282)))),1,0))</f>
        <v/>
      </c>
      <c r="BD282" s="23">
        <f>IF(AR282="","",IF(OR(TRIM(AK282&amp;"")&lt;&gt;"",AND(Skills!$B$11&lt;&gt;"",ISNUMBER(SEARCH(Skills!$B$11,AU282)))),1,0))</f>
        <v/>
      </c>
      <c r="BE282" s="23">
        <f>IF(AR282="","",IF(OR(TRIM(AL282&amp;"")&lt;&gt;"",AND(Skills!$B$12&lt;&gt;"",ISNUMBER(SEARCH(Skills!$B$12,AU282)))),1,0))</f>
        <v/>
      </c>
      <c r="BF282" s="23">
        <f>IF(AR282="","",IF(OR(TRIM(AM282&amp;"")&lt;&gt;"",AND(Skills!$B$13&lt;&gt;"",ISNUMBER(SEARCH(Skills!$B$13,AU282)))),1,0))</f>
        <v/>
      </c>
      <c r="BG282" s="23">
        <f>IF(AR282="","",IF(OR(TRIM(AN282&amp;"")&lt;&gt;"",AND(Skills!$B$14&lt;&gt;"",ISNUMBER(SEARCH(Skills!$B$14,AU282)))),1,0))</f>
        <v/>
      </c>
      <c r="BH282" s="23">
        <f>IF(AR282="","",IF(OR(TRIM(AO282&amp;"")&lt;&gt;"",AND(Skills!$B$15&lt;&gt;"",ISNUMBER(SEARCH(Skills!$B$15,AU282)))),1,0))</f>
        <v/>
      </c>
      <c r="BI282" s="23">
        <f>IF(AR282="","",IF(OR(TRIM(AP282&amp;"")&lt;&gt;"",AND(Skills!$B$16&lt;&gt;"",ISNUMBER(SEARCH(Skills!$B$16,AU282)))),1,0))</f>
        <v/>
      </c>
      <c r="BJ282" s="23">
        <f>IF(AR282="","",SUMPRODUCT($AX282:$BI282,Skills!$B$20:$M$20))</f>
        <v/>
      </c>
      <c r="BK282" s="23">
        <f>IF(AR282="","",BJ282*100000+(100000-ROW()))</f>
        <v/>
      </c>
      <c r="BL282" s="31">
        <f>IF(AR282="","",IF((IF(AND(AX282=1,Skills!$B$20=1),Skills!$B$5&amp;", ","")&amp;IF(AND(AY282=1,Skills!$C$20=1),Skills!$B$6&amp;", ","")&amp;IF(AND(AZ282=1,Skills!$D$20=1),Skills!$B$7&amp;", ","")&amp;IF(AND(BA282=1,Skills!$E$20=1),Skills!$B$8&amp;", ","")&amp;IF(AND(BB282=1,Skills!$F$20=1),Skills!$B$9&amp;", ","")&amp;IF(AND(BC282=1,Skills!$G$20=1),Skills!$B$10&amp;", ","")&amp;IF(AND(BD282=1,Skills!$H$20=1),Skills!$B$11&amp;", ","")&amp;IF(AND(BE282=1,Skills!$I$20=1),Skills!$B$12&amp;", ","")&amp;IF(AND(BF282=1,Skills!$J$20=1),Skills!$B$13&amp;", ","")&amp;IF(AND(BG282=1,Skills!$K$20=1),Skills!$B$14&amp;", ","")&amp;IF(AND(BH282=1,Skills!$L$20=1),Skills!$B$15&amp;", ","")&amp;IF(AND(BI282=1,Skills!$M$20=1),Skills!$B$16&amp;", ",""))="","",LEFT(IF(AND(AX282=1,Skills!$B$20=1),Skills!$B$5&amp;", ","")&amp;IF(AND(AY282=1,Skills!$C$20=1),Skills!$B$6&amp;", ","")&amp;IF(AND(AZ282=1,Skills!$D$20=1),Skills!$B$7&amp;", ","")&amp;IF(AND(BA282=1,Skills!$E$20=1),Skills!$B$8&amp;", ","")&amp;IF(AND(BB282=1,Skills!$F$20=1),Skills!$B$9&amp;", ","")&amp;IF(AND(BC282=1,Skills!$G$20=1),Skills!$B$10&amp;", ","")&amp;IF(AND(BD282=1,Skills!$H$20=1),Skills!$B$11&amp;", ","")&amp;IF(AND(BE282=1,Skills!$I$20=1),Skills!$B$12&amp;", ","")&amp;IF(AND(BF282=1,Skills!$J$20=1),Skills!$B$13&amp;", ","")&amp;IF(AND(BG282=1,Skills!$K$20=1),Skills!$B$14&amp;", ","")&amp;IF(AND(BH282=1,Skills!$L$20=1),Skills!$B$15&amp;", ","")&amp;IF(AND(BI282=1,Skills!$M$20=1),Skills!$B$16&amp;", ",""),LEN(IF(AND(AX282=1,Skills!$B$20=1),Skills!$B$5&amp;", ","")&amp;IF(AND(AY282=1,Skills!$C$20=1),Skills!$B$6&amp;", ","")&amp;IF(AND(AZ282=1,Skills!$D$20=1),Skills!$B$7&amp;", ","")&amp;IF(AND(BA282=1,Skills!$E$20=1),Skills!$B$8&amp;", ","")&amp;IF(AND(BB282=1,Skills!$F$20=1),Skills!$B$9&amp;", ","")&amp;IF(AND(BC282=1,Skills!$G$20=1),Skills!$B$10&amp;", ","")&amp;IF(AND(BD282=1,Skills!$H$20=1),Skills!$B$11&amp;", ","")&amp;IF(AND(BE282=1,Skills!$I$20=1),Skills!$B$12&amp;", ","")&amp;IF(AND(BF282=1,Skills!$J$20=1),Skills!$B$13&amp;", ","")&amp;IF(AND(BG282=1,Skills!$K$20=1),Skills!$B$14&amp;", ","")&amp;IF(AND(BH282=1,Skills!$L$20=1),Skills!$B$15&amp;", ","")&amp;IF(AND(BI282=1,Skills!$M$20=1),Skills!$B$16&amp;", ",""))-2)))</f>
        <v/>
      </c>
    </row>
    <row r="283">
      <c r="AD283" s="20" t="n"/>
      <c r="AE283" s="20" t="n"/>
      <c r="AF283" s="20" t="n"/>
      <c r="AG283" s="20" t="n"/>
      <c r="AH283" s="20" t="n"/>
      <c r="AI283" s="20" t="n"/>
      <c r="AJ283" s="20" t="n"/>
      <c r="AK283" s="20" t="n"/>
      <c r="AL283" s="20" t="n"/>
      <c r="AM283" s="20" t="n"/>
      <c r="AN283" s="20" t="n"/>
      <c r="AO283" s="20" t="n"/>
      <c r="AP283" s="20" t="n"/>
      <c r="AR283" s="31">
        <f>IF(IFERROR(TRIM(INDEX($A283:$AB283,MATCH(Lists!$B$5,$A$1:$AB$1,0))&amp;""),"")&lt;&gt;"",IFERROR(TRIM(INDEX($A283:$AB283,MATCH(Lists!$B$5,$A$1:$AB$1,0))&amp;""),""),IFERROR(TRIM(INDEX($A283:$AB283,MATCH(Lists!$B$3,$A$1:$AB$1,0))&amp;""),""))</f>
        <v/>
      </c>
      <c r="AS283" s="31">
        <f>IF(AR283="","",IF(IFERROR(TRIM(INDEX($A283:$AB283,MATCH(Lists!$B$5,$A$1:$AB$1,0))&amp;""),"")&lt;&gt;"","Nominated","Applied"))</f>
        <v/>
      </c>
      <c r="AT283" s="31">
        <f>IF(AR283="","",IF(IFERROR(TRIM(INDEX($A283:$AB283,MATCH(Lists!$B$5,$A$1:$AB$1,0))&amp;""),"")&lt;&gt;"",IFERROR(TRIM(INDEX($A283:$AB283,MATCH(Lists!$B$6,$A$1:$AB$1,0))&amp;""),""),IFERROR(TRIM(INDEX($A283:$AB283,MATCH(Lists!$B$4,$A$1:$AB$1,0))&amp;""),"")))</f>
        <v/>
      </c>
      <c r="AU283" s="31">
        <f>IF(AR283="","",IFERROR(TRIM(INDEX($A283:$AB283,MATCH(Lists!$B$7,$A$1:$AB$1,0))&amp;""),""))</f>
        <v/>
      </c>
      <c r="AV283" s="31">
        <f>IF(AR283="","",IFERROR(TRIM(INDEX($A283:$AB283,MATCH(Lists!$B$9,$A$1:$AB$1,0))&amp;""),""))</f>
        <v/>
      </c>
      <c r="AW283" s="31">
        <f>IF(AR283="","",IFERROR(TRIM(INDEX($A283:$AB283,MATCH(Lists!$B$8,$A$1:$AB$1,0))&amp;""),""))</f>
        <v/>
      </c>
      <c r="AX283" s="23">
        <f>IF(AR283="","",IF(OR(TRIM(AE283&amp;"")&lt;&gt;"",AND(Skills!$B$5&lt;&gt;"",ISNUMBER(SEARCH(Skills!$B$5,AU283)))),1,0))</f>
        <v/>
      </c>
      <c r="AY283" s="23">
        <f>IF(AR283="","",IF(OR(TRIM(AF283&amp;"")&lt;&gt;"",AND(Skills!$B$6&lt;&gt;"",ISNUMBER(SEARCH(Skills!$B$6,AU283)))),1,0))</f>
        <v/>
      </c>
      <c r="AZ283" s="23">
        <f>IF(AR283="","",IF(OR(TRIM(AG283&amp;"")&lt;&gt;"",AND(Skills!$B$7&lt;&gt;"",ISNUMBER(SEARCH(Skills!$B$7,AU283)))),1,0))</f>
        <v/>
      </c>
      <c r="BA283" s="23">
        <f>IF(AR283="","",IF(OR(TRIM(AH283&amp;"")&lt;&gt;"",AND(Skills!$B$8&lt;&gt;"",ISNUMBER(SEARCH(Skills!$B$8,AU283)))),1,0))</f>
        <v/>
      </c>
      <c r="BB283" s="23">
        <f>IF(AR283="","",IF(OR(TRIM(AI283&amp;"")&lt;&gt;"",AND(Skills!$B$9&lt;&gt;"",ISNUMBER(SEARCH(Skills!$B$9,AU283)))),1,0))</f>
        <v/>
      </c>
      <c r="BC283" s="23">
        <f>IF(AR283="","",IF(OR(TRIM(AJ283&amp;"")&lt;&gt;"",AND(Skills!$B$10&lt;&gt;"",ISNUMBER(SEARCH(Skills!$B$10,AU283)))),1,0))</f>
        <v/>
      </c>
      <c r="BD283" s="23">
        <f>IF(AR283="","",IF(OR(TRIM(AK283&amp;"")&lt;&gt;"",AND(Skills!$B$11&lt;&gt;"",ISNUMBER(SEARCH(Skills!$B$11,AU283)))),1,0))</f>
        <v/>
      </c>
      <c r="BE283" s="23">
        <f>IF(AR283="","",IF(OR(TRIM(AL283&amp;"")&lt;&gt;"",AND(Skills!$B$12&lt;&gt;"",ISNUMBER(SEARCH(Skills!$B$12,AU283)))),1,0))</f>
        <v/>
      </c>
      <c r="BF283" s="23">
        <f>IF(AR283="","",IF(OR(TRIM(AM283&amp;"")&lt;&gt;"",AND(Skills!$B$13&lt;&gt;"",ISNUMBER(SEARCH(Skills!$B$13,AU283)))),1,0))</f>
        <v/>
      </c>
      <c r="BG283" s="23">
        <f>IF(AR283="","",IF(OR(TRIM(AN283&amp;"")&lt;&gt;"",AND(Skills!$B$14&lt;&gt;"",ISNUMBER(SEARCH(Skills!$B$14,AU283)))),1,0))</f>
        <v/>
      </c>
      <c r="BH283" s="23">
        <f>IF(AR283="","",IF(OR(TRIM(AO283&amp;"")&lt;&gt;"",AND(Skills!$B$15&lt;&gt;"",ISNUMBER(SEARCH(Skills!$B$15,AU283)))),1,0))</f>
        <v/>
      </c>
      <c r="BI283" s="23">
        <f>IF(AR283="","",IF(OR(TRIM(AP283&amp;"")&lt;&gt;"",AND(Skills!$B$16&lt;&gt;"",ISNUMBER(SEARCH(Skills!$B$16,AU283)))),1,0))</f>
        <v/>
      </c>
      <c r="BJ283" s="23">
        <f>IF(AR283="","",SUMPRODUCT($AX283:$BI283,Skills!$B$20:$M$20))</f>
        <v/>
      </c>
      <c r="BK283" s="23">
        <f>IF(AR283="","",BJ283*100000+(100000-ROW()))</f>
        <v/>
      </c>
      <c r="BL283" s="31">
        <f>IF(AR283="","",IF((IF(AND(AX283=1,Skills!$B$20=1),Skills!$B$5&amp;", ","")&amp;IF(AND(AY283=1,Skills!$C$20=1),Skills!$B$6&amp;", ","")&amp;IF(AND(AZ283=1,Skills!$D$20=1),Skills!$B$7&amp;", ","")&amp;IF(AND(BA283=1,Skills!$E$20=1),Skills!$B$8&amp;", ","")&amp;IF(AND(BB283=1,Skills!$F$20=1),Skills!$B$9&amp;", ","")&amp;IF(AND(BC283=1,Skills!$G$20=1),Skills!$B$10&amp;", ","")&amp;IF(AND(BD283=1,Skills!$H$20=1),Skills!$B$11&amp;", ","")&amp;IF(AND(BE283=1,Skills!$I$20=1),Skills!$B$12&amp;", ","")&amp;IF(AND(BF283=1,Skills!$J$20=1),Skills!$B$13&amp;", ","")&amp;IF(AND(BG283=1,Skills!$K$20=1),Skills!$B$14&amp;", ","")&amp;IF(AND(BH283=1,Skills!$L$20=1),Skills!$B$15&amp;", ","")&amp;IF(AND(BI283=1,Skills!$M$20=1),Skills!$B$16&amp;", ",""))="","",LEFT(IF(AND(AX283=1,Skills!$B$20=1),Skills!$B$5&amp;", ","")&amp;IF(AND(AY283=1,Skills!$C$20=1),Skills!$B$6&amp;", ","")&amp;IF(AND(AZ283=1,Skills!$D$20=1),Skills!$B$7&amp;", ","")&amp;IF(AND(BA283=1,Skills!$E$20=1),Skills!$B$8&amp;", ","")&amp;IF(AND(BB283=1,Skills!$F$20=1),Skills!$B$9&amp;", ","")&amp;IF(AND(BC283=1,Skills!$G$20=1),Skills!$B$10&amp;", ","")&amp;IF(AND(BD283=1,Skills!$H$20=1),Skills!$B$11&amp;", ","")&amp;IF(AND(BE283=1,Skills!$I$20=1),Skills!$B$12&amp;", ","")&amp;IF(AND(BF283=1,Skills!$J$20=1),Skills!$B$13&amp;", ","")&amp;IF(AND(BG283=1,Skills!$K$20=1),Skills!$B$14&amp;", ","")&amp;IF(AND(BH283=1,Skills!$L$20=1),Skills!$B$15&amp;", ","")&amp;IF(AND(BI283=1,Skills!$M$20=1),Skills!$B$16&amp;", ",""),LEN(IF(AND(AX283=1,Skills!$B$20=1),Skills!$B$5&amp;", ","")&amp;IF(AND(AY283=1,Skills!$C$20=1),Skills!$B$6&amp;", ","")&amp;IF(AND(AZ283=1,Skills!$D$20=1),Skills!$B$7&amp;", ","")&amp;IF(AND(BA283=1,Skills!$E$20=1),Skills!$B$8&amp;", ","")&amp;IF(AND(BB283=1,Skills!$F$20=1),Skills!$B$9&amp;", ","")&amp;IF(AND(BC283=1,Skills!$G$20=1),Skills!$B$10&amp;", ","")&amp;IF(AND(BD283=1,Skills!$H$20=1),Skills!$B$11&amp;", ","")&amp;IF(AND(BE283=1,Skills!$I$20=1),Skills!$B$12&amp;", ","")&amp;IF(AND(BF283=1,Skills!$J$20=1),Skills!$B$13&amp;", ","")&amp;IF(AND(BG283=1,Skills!$K$20=1),Skills!$B$14&amp;", ","")&amp;IF(AND(BH283=1,Skills!$L$20=1),Skills!$B$15&amp;", ","")&amp;IF(AND(BI283=1,Skills!$M$20=1),Skills!$B$16&amp;", ",""))-2)))</f>
        <v/>
      </c>
    </row>
    <row r="284">
      <c r="AD284" s="20" t="n"/>
      <c r="AE284" s="20" t="n"/>
      <c r="AF284" s="20" t="n"/>
      <c r="AG284" s="20" t="n"/>
      <c r="AH284" s="20" t="n"/>
      <c r="AI284" s="20" t="n"/>
      <c r="AJ284" s="20" t="n"/>
      <c r="AK284" s="20" t="n"/>
      <c r="AL284" s="20" t="n"/>
      <c r="AM284" s="20" t="n"/>
      <c r="AN284" s="20" t="n"/>
      <c r="AO284" s="20" t="n"/>
      <c r="AP284" s="20" t="n"/>
      <c r="AR284" s="31">
        <f>IF(IFERROR(TRIM(INDEX($A284:$AB284,MATCH(Lists!$B$5,$A$1:$AB$1,0))&amp;""),"")&lt;&gt;"",IFERROR(TRIM(INDEX($A284:$AB284,MATCH(Lists!$B$5,$A$1:$AB$1,0))&amp;""),""),IFERROR(TRIM(INDEX($A284:$AB284,MATCH(Lists!$B$3,$A$1:$AB$1,0))&amp;""),""))</f>
        <v/>
      </c>
      <c r="AS284" s="31">
        <f>IF(AR284="","",IF(IFERROR(TRIM(INDEX($A284:$AB284,MATCH(Lists!$B$5,$A$1:$AB$1,0))&amp;""),"")&lt;&gt;"","Nominated","Applied"))</f>
        <v/>
      </c>
      <c r="AT284" s="31">
        <f>IF(AR284="","",IF(IFERROR(TRIM(INDEX($A284:$AB284,MATCH(Lists!$B$5,$A$1:$AB$1,0))&amp;""),"")&lt;&gt;"",IFERROR(TRIM(INDEX($A284:$AB284,MATCH(Lists!$B$6,$A$1:$AB$1,0))&amp;""),""),IFERROR(TRIM(INDEX($A284:$AB284,MATCH(Lists!$B$4,$A$1:$AB$1,0))&amp;""),"")))</f>
        <v/>
      </c>
      <c r="AU284" s="31">
        <f>IF(AR284="","",IFERROR(TRIM(INDEX($A284:$AB284,MATCH(Lists!$B$7,$A$1:$AB$1,0))&amp;""),""))</f>
        <v/>
      </c>
      <c r="AV284" s="31">
        <f>IF(AR284="","",IFERROR(TRIM(INDEX($A284:$AB284,MATCH(Lists!$B$9,$A$1:$AB$1,0))&amp;""),""))</f>
        <v/>
      </c>
      <c r="AW284" s="31">
        <f>IF(AR284="","",IFERROR(TRIM(INDEX($A284:$AB284,MATCH(Lists!$B$8,$A$1:$AB$1,0))&amp;""),""))</f>
        <v/>
      </c>
      <c r="AX284" s="23">
        <f>IF(AR284="","",IF(OR(TRIM(AE284&amp;"")&lt;&gt;"",AND(Skills!$B$5&lt;&gt;"",ISNUMBER(SEARCH(Skills!$B$5,AU284)))),1,0))</f>
        <v/>
      </c>
      <c r="AY284" s="23">
        <f>IF(AR284="","",IF(OR(TRIM(AF284&amp;"")&lt;&gt;"",AND(Skills!$B$6&lt;&gt;"",ISNUMBER(SEARCH(Skills!$B$6,AU284)))),1,0))</f>
        <v/>
      </c>
      <c r="AZ284" s="23">
        <f>IF(AR284="","",IF(OR(TRIM(AG284&amp;"")&lt;&gt;"",AND(Skills!$B$7&lt;&gt;"",ISNUMBER(SEARCH(Skills!$B$7,AU284)))),1,0))</f>
        <v/>
      </c>
      <c r="BA284" s="23">
        <f>IF(AR284="","",IF(OR(TRIM(AH284&amp;"")&lt;&gt;"",AND(Skills!$B$8&lt;&gt;"",ISNUMBER(SEARCH(Skills!$B$8,AU284)))),1,0))</f>
        <v/>
      </c>
      <c r="BB284" s="23">
        <f>IF(AR284="","",IF(OR(TRIM(AI284&amp;"")&lt;&gt;"",AND(Skills!$B$9&lt;&gt;"",ISNUMBER(SEARCH(Skills!$B$9,AU284)))),1,0))</f>
        <v/>
      </c>
      <c r="BC284" s="23">
        <f>IF(AR284="","",IF(OR(TRIM(AJ284&amp;"")&lt;&gt;"",AND(Skills!$B$10&lt;&gt;"",ISNUMBER(SEARCH(Skills!$B$10,AU284)))),1,0))</f>
        <v/>
      </c>
      <c r="BD284" s="23">
        <f>IF(AR284="","",IF(OR(TRIM(AK284&amp;"")&lt;&gt;"",AND(Skills!$B$11&lt;&gt;"",ISNUMBER(SEARCH(Skills!$B$11,AU284)))),1,0))</f>
        <v/>
      </c>
      <c r="BE284" s="23">
        <f>IF(AR284="","",IF(OR(TRIM(AL284&amp;"")&lt;&gt;"",AND(Skills!$B$12&lt;&gt;"",ISNUMBER(SEARCH(Skills!$B$12,AU284)))),1,0))</f>
        <v/>
      </c>
      <c r="BF284" s="23">
        <f>IF(AR284="","",IF(OR(TRIM(AM284&amp;"")&lt;&gt;"",AND(Skills!$B$13&lt;&gt;"",ISNUMBER(SEARCH(Skills!$B$13,AU284)))),1,0))</f>
        <v/>
      </c>
      <c r="BG284" s="23">
        <f>IF(AR284="","",IF(OR(TRIM(AN284&amp;"")&lt;&gt;"",AND(Skills!$B$14&lt;&gt;"",ISNUMBER(SEARCH(Skills!$B$14,AU284)))),1,0))</f>
        <v/>
      </c>
      <c r="BH284" s="23">
        <f>IF(AR284="","",IF(OR(TRIM(AO284&amp;"")&lt;&gt;"",AND(Skills!$B$15&lt;&gt;"",ISNUMBER(SEARCH(Skills!$B$15,AU284)))),1,0))</f>
        <v/>
      </c>
      <c r="BI284" s="23">
        <f>IF(AR284="","",IF(OR(TRIM(AP284&amp;"")&lt;&gt;"",AND(Skills!$B$16&lt;&gt;"",ISNUMBER(SEARCH(Skills!$B$16,AU284)))),1,0))</f>
        <v/>
      </c>
      <c r="BJ284" s="23">
        <f>IF(AR284="","",SUMPRODUCT($AX284:$BI284,Skills!$B$20:$M$20))</f>
        <v/>
      </c>
      <c r="BK284" s="23">
        <f>IF(AR284="","",BJ284*100000+(100000-ROW()))</f>
        <v/>
      </c>
      <c r="BL284" s="31">
        <f>IF(AR284="","",IF((IF(AND(AX284=1,Skills!$B$20=1),Skills!$B$5&amp;", ","")&amp;IF(AND(AY284=1,Skills!$C$20=1),Skills!$B$6&amp;", ","")&amp;IF(AND(AZ284=1,Skills!$D$20=1),Skills!$B$7&amp;", ","")&amp;IF(AND(BA284=1,Skills!$E$20=1),Skills!$B$8&amp;", ","")&amp;IF(AND(BB284=1,Skills!$F$20=1),Skills!$B$9&amp;", ","")&amp;IF(AND(BC284=1,Skills!$G$20=1),Skills!$B$10&amp;", ","")&amp;IF(AND(BD284=1,Skills!$H$20=1),Skills!$B$11&amp;", ","")&amp;IF(AND(BE284=1,Skills!$I$20=1),Skills!$B$12&amp;", ","")&amp;IF(AND(BF284=1,Skills!$J$20=1),Skills!$B$13&amp;", ","")&amp;IF(AND(BG284=1,Skills!$K$20=1),Skills!$B$14&amp;", ","")&amp;IF(AND(BH284=1,Skills!$L$20=1),Skills!$B$15&amp;", ","")&amp;IF(AND(BI284=1,Skills!$M$20=1),Skills!$B$16&amp;", ",""))="","",LEFT(IF(AND(AX284=1,Skills!$B$20=1),Skills!$B$5&amp;", ","")&amp;IF(AND(AY284=1,Skills!$C$20=1),Skills!$B$6&amp;", ","")&amp;IF(AND(AZ284=1,Skills!$D$20=1),Skills!$B$7&amp;", ","")&amp;IF(AND(BA284=1,Skills!$E$20=1),Skills!$B$8&amp;", ","")&amp;IF(AND(BB284=1,Skills!$F$20=1),Skills!$B$9&amp;", ","")&amp;IF(AND(BC284=1,Skills!$G$20=1),Skills!$B$10&amp;", ","")&amp;IF(AND(BD284=1,Skills!$H$20=1),Skills!$B$11&amp;", ","")&amp;IF(AND(BE284=1,Skills!$I$20=1),Skills!$B$12&amp;", ","")&amp;IF(AND(BF284=1,Skills!$J$20=1),Skills!$B$13&amp;", ","")&amp;IF(AND(BG284=1,Skills!$K$20=1),Skills!$B$14&amp;", ","")&amp;IF(AND(BH284=1,Skills!$L$20=1),Skills!$B$15&amp;", ","")&amp;IF(AND(BI284=1,Skills!$M$20=1),Skills!$B$16&amp;", ",""),LEN(IF(AND(AX284=1,Skills!$B$20=1),Skills!$B$5&amp;", ","")&amp;IF(AND(AY284=1,Skills!$C$20=1),Skills!$B$6&amp;", ","")&amp;IF(AND(AZ284=1,Skills!$D$20=1),Skills!$B$7&amp;", ","")&amp;IF(AND(BA284=1,Skills!$E$20=1),Skills!$B$8&amp;", ","")&amp;IF(AND(BB284=1,Skills!$F$20=1),Skills!$B$9&amp;", ","")&amp;IF(AND(BC284=1,Skills!$G$20=1),Skills!$B$10&amp;", ","")&amp;IF(AND(BD284=1,Skills!$H$20=1),Skills!$B$11&amp;", ","")&amp;IF(AND(BE284=1,Skills!$I$20=1),Skills!$B$12&amp;", ","")&amp;IF(AND(BF284=1,Skills!$J$20=1),Skills!$B$13&amp;", ","")&amp;IF(AND(BG284=1,Skills!$K$20=1),Skills!$B$14&amp;", ","")&amp;IF(AND(BH284=1,Skills!$L$20=1),Skills!$B$15&amp;", ","")&amp;IF(AND(BI284=1,Skills!$M$20=1),Skills!$B$16&amp;", ",""))-2)))</f>
        <v/>
      </c>
    </row>
    <row r="285">
      <c r="AD285" s="20" t="n"/>
      <c r="AE285" s="20" t="n"/>
      <c r="AF285" s="20" t="n"/>
      <c r="AG285" s="20" t="n"/>
      <c r="AH285" s="20" t="n"/>
      <c r="AI285" s="20" t="n"/>
      <c r="AJ285" s="20" t="n"/>
      <c r="AK285" s="20" t="n"/>
      <c r="AL285" s="20" t="n"/>
      <c r="AM285" s="20" t="n"/>
      <c r="AN285" s="20" t="n"/>
      <c r="AO285" s="20" t="n"/>
      <c r="AP285" s="20" t="n"/>
      <c r="AR285" s="31">
        <f>IF(IFERROR(TRIM(INDEX($A285:$AB285,MATCH(Lists!$B$5,$A$1:$AB$1,0))&amp;""),"")&lt;&gt;"",IFERROR(TRIM(INDEX($A285:$AB285,MATCH(Lists!$B$5,$A$1:$AB$1,0))&amp;""),""),IFERROR(TRIM(INDEX($A285:$AB285,MATCH(Lists!$B$3,$A$1:$AB$1,0))&amp;""),""))</f>
        <v/>
      </c>
      <c r="AS285" s="31">
        <f>IF(AR285="","",IF(IFERROR(TRIM(INDEX($A285:$AB285,MATCH(Lists!$B$5,$A$1:$AB$1,0))&amp;""),"")&lt;&gt;"","Nominated","Applied"))</f>
        <v/>
      </c>
      <c r="AT285" s="31">
        <f>IF(AR285="","",IF(IFERROR(TRIM(INDEX($A285:$AB285,MATCH(Lists!$B$5,$A$1:$AB$1,0))&amp;""),"")&lt;&gt;"",IFERROR(TRIM(INDEX($A285:$AB285,MATCH(Lists!$B$6,$A$1:$AB$1,0))&amp;""),""),IFERROR(TRIM(INDEX($A285:$AB285,MATCH(Lists!$B$4,$A$1:$AB$1,0))&amp;""),"")))</f>
        <v/>
      </c>
      <c r="AU285" s="31">
        <f>IF(AR285="","",IFERROR(TRIM(INDEX($A285:$AB285,MATCH(Lists!$B$7,$A$1:$AB$1,0))&amp;""),""))</f>
        <v/>
      </c>
      <c r="AV285" s="31">
        <f>IF(AR285="","",IFERROR(TRIM(INDEX($A285:$AB285,MATCH(Lists!$B$9,$A$1:$AB$1,0))&amp;""),""))</f>
        <v/>
      </c>
      <c r="AW285" s="31">
        <f>IF(AR285="","",IFERROR(TRIM(INDEX($A285:$AB285,MATCH(Lists!$B$8,$A$1:$AB$1,0))&amp;""),""))</f>
        <v/>
      </c>
      <c r="AX285" s="23">
        <f>IF(AR285="","",IF(OR(TRIM(AE285&amp;"")&lt;&gt;"",AND(Skills!$B$5&lt;&gt;"",ISNUMBER(SEARCH(Skills!$B$5,AU285)))),1,0))</f>
        <v/>
      </c>
      <c r="AY285" s="23">
        <f>IF(AR285="","",IF(OR(TRIM(AF285&amp;"")&lt;&gt;"",AND(Skills!$B$6&lt;&gt;"",ISNUMBER(SEARCH(Skills!$B$6,AU285)))),1,0))</f>
        <v/>
      </c>
      <c r="AZ285" s="23">
        <f>IF(AR285="","",IF(OR(TRIM(AG285&amp;"")&lt;&gt;"",AND(Skills!$B$7&lt;&gt;"",ISNUMBER(SEARCH(Skills!$B$7,AU285)))),1,0))</f>
        <v/>
      </c>
      <c r="BA285" s="23">
        <f>IF(AR285="","",IF(OR(TRIM(AH285&amp;"")&lt;&gt;"",AND(Skills!$B$8&lt;&gt;"",ISNUMBER(SEARCH(Skills!$B$8,AU285)))),1,0))</f>
        <v/>
      </c>
      <c r="BB285" s="23">
        <f>IF(AR285="","",IF(OR(TRIM(AI285&amp;"")&lt;&gt;"",AND(Skills!$B$9&lt;&gt;"",ISNUMBER(SEARCH(Skills!$B$9,AU285)))),1,0))</f>
        <v/>
      </c>
      <c r="BC285" s="23">
        <f>IF(AR285="","",IF(OR(TRIM(AJ285&amp;"")&lt;&gt;"",AND(Skills!$B$10&lt;&gt;"",ISNUMBER(SEARCH(Skills!$B$10,AU285)))),1,0))</f>
        <v/>
      </c>
      <c r="BD285" s="23">
        <f>IF(AR285="","",IF(OR(TRIM(AK285&amp;"")&lt;&gt;"",AND(Skills!$B$11&lt;&gt;"",ISNUMBER(SEARCH(Skills!$B$11,AU285)))),1,0))</f>
        <v/>
      </c>
      <c r="BE285" s="23">
        <f>IF(AR285="","",IF(OR(TRIM(AL285&amp;"")&lt;&gt;"",AND(Skills!$B$12&lt;&gt;"",ISNUMBER(SEARCH(Skills!$B$12,AU285)))),1,0))</f>
        <v/>
      </c>
      <c r="BF285" s="23">
        <f>IF(AR285="","",IF(OR(TRIM(AM285&amp;"")&lt;&gt;"",AND(Skills!$B$13&lt;&gt;"",ISNUMBER(SEARCH(Skills!$B$13,AU285)))),1,0))</f>
        <v/>
      </c>
      <c r="BG285" s="23">
        <f>IF(AR285="","",IF(OR(TRIM(AN285&amp;"")&lt;&gt;"",AND(Skills!$B$14&lt;&gt;"",ISNUMBER(SEARCH(Skills!$B$14,AU285)))),1,0))</f>
        <v/>
      </c>
      <c r="BH285" s="23">
        <f>IF(AR285="","",IF(OR(TRIM(AO285&amp;"")&lt;&gt;"",AND(Skills!$B$15&lt;&gt;"",ISNUMBER(SEARCH(Skills!$B$15,AU285)))),1,0))</f>
        <v/>
      </c>
      <c r="BI285" s="23">
        <f>IF(AR285="","",IF(OR(TRIM(AP285&amp;"")&lt;&gt;"",AND(Skills!$B$16&lt;&gt;"",ISNUMBER(SEARCH(Skills!$B$16,AU285)))),1,0))</f>
        <v/>
      </c>
      <c r="BJ285" s="23">
        <f>IF(AR285="","",SUMPRODUCT($AX285:$BI285,Skills!$B$20:$M$20))</f>
        <v/>
      </c>
      <c r="BK285" s="23">
        <f>IF(AR285="","",BJ285*100000+(100000-ROW()))</f>
        <v/>
      </c>
      <c r="BL285" s="31">
        <f>IF(AR285="","",IF((IF(AND(AX285=1,Skills!$B$20=1),Skills!$B$5&amp;", ","")&amp;IF(AND(AY285=1,Skills!$C$20=1),Skills!$B$6&amp;", ","")&amp;IF(AND(AZ285=1,Skills!$D$20=1),Skills!$B$7&amp;", ","")&amp;IF(AND(BA285=1,Skills!$E$20=1),Skills!$B$8&amp;", ","")&amp;IF(AND(BB285=1,Skills!$F$20=1),Skills!$B$9&amp;", ","")&amp;IF(AND(BC285=1,Skills!$G$20=1),Skills!$B$10&amp;", ","")&amp;IF(AND(BD285=1,Skills!$H$20=1),Skills!$B$11&amp;", ","")&amp;IF(AND(BE285=1,Skills!$I$20=1),Skills!$B$12&amp;", ","")&amp;IF(AND(BF285=1,Skills!$J$20=1),Skills!$B$13&amp;", ","")&amp;IF(AND(BG285=1,Skills!$K$20=1),Skills!$B$14&amp;", ","")&amp;IF(AND(BH285=1,Skills!$L$20=1),Skills!$B$15&amp;", ","")&amp;IF(AND(BI285=1,Skills!$M$20=1),Skills!$B$16&amp;", ",""))="","",LEFT(IF(AND(AX285=1,Skills!$B$20=1),Skills!$B$5&amp;", ","")&amp;IF(AND(AY285=1,Skills!$C$20=1),Skills!$B$6&amp;", ","")&amp;IF(AND(AZ285=1,Skills!$D$20=1),Skills!$B$7&amp;", ","")&amp;IF(AND(BA285=1,Skills!$E$20=1),Skills!$B$8&amp;", ","")&amp;IF(AND(BB285=1,Skills!$F$20=1),Skills!$B$9&amp;", ","")&amp;IF(AND(BC285=1,Skills!$G$20=1),Skills!$B$10&amp;", ","")&amp;IF(AND(BD285=1,Skills!$H$20=1),Skills!$B$11&amp;", ","")&amp;IF(AND(BE285=1,Skills!$I$20=1),Skills!$B$12&amp;", ","")&amp;IF(AND(BF285=1,Skills!$J$20=1),Skills!$B$13&amp;", ","")&amp;IF(AND(BG285=1,Skills!$K$20=1),Skills!$B$14&amp;", ","")&amp;IF(AND(BH285=1,Skills!$L$20=1),Skills!$B$15&amp;", ","")&amp;IF(AND(BI285=1,Skills!$M$20=1),Skills!$B$16&amp;", ",""),LEN(IF(AND(AX285=1,Skills!$B$20=1),Skills!$B$5&amp;", ","")&amp;IF(AND(AY285=1,Skills!$C$20=1),Skills!$B$6&amp;", ","")&amp;IF(AND(AZ285=1,Skills!$D$20=1),Skills!$B$7&amp;", ","")&amp;IF(AND(BA285=1,Skills!$E$20=1),Skills!$B$8&amp;", ","")&amp;IF(AND(BB285=1,Skills!$F$20=1),Skills!$B$9&amp;", ","")&amp;IF(AND(BC285=1,Skills!$G$20=1),Skills!$B$10&amp;", ","")&amp;IF(AND(BD285=1,Skills!$H$20=1),Skills!$B$11&amp;", ","")&amp;IF(AND(BE285=1,Skills!$I$20=1),Skills!$B$12&amp;", ","")&amp;IF(AND(BF285=1,Skills!$J$20=1),Skills!$B$13&amp;", ","")&amp;IF(AND(BG285=1,Skills!$K$20=1),Skills!$B$14&amp;", ","")&amp;IF(AND(BH285=1,Skills!$L$20=1),Skills!$B$15&amp;", ","")&amp;IF(AND(BI285=1,Skills!$M$20=1),Skills!$B$16&amp;", ",""))-2)))</f>
        <v/>
      </c>
    </row>
    <row r="286">
      <c r="AD286" s="20" t="n"/>
      <c r="AE286" s="20" t="n"/>
      <c r="AF286" s="20" t="n"/>
      <c r="AG286" s="20" t="n"/>
      <c r="AH286" s="20" t="n"/>
      <c r="AI286" s="20" t="n"/>
      <c r="AJ286" s="20" t="n"/>
      <c r="AK286" s="20" t="n"/>
      <c r="AL286" s="20" t="n"/>
      <c r="AM286" s="20" t="n"/>
      <c r="AN286" s="20" t="n"/>
      <c r="AO286" s="20" t="n"/>
      <c r="AP286" s="20" t="n"/>
      <c r="AR286" s="31">
        <f>IF(IFERROR(TRIM(INDEX($A286:$AB286,MATCH(Lists!$B$5,$A$1:$AB$1,0))&amp;""),"")&lt;&gt;"",IFERROR(TRIM(INDEX($A286:$AB286,MATCH(Lists!$B$5,$A$1:$AB$1,0))&amp;""),""),IFERROR(TRIM(INDEX($A286:$AB286,MATCH(Lists!$B$3,$A$1:$AB$1,0))&amp;""),""))</f>
        <v/>
      </c>
      <c r="AS286" s="31">
        <f>IF(AR286="","",IF(IFERROR(TRIM(INDEX($A286:$AB286,MATCH(Lists!$B$5,$A$1:$AB$1,0))&amp;""),"")&lt;&gt;"","Nominated","Applied"))</f>
        <v/>
      </c>
      <c r="AT286" s="31">
        <f>IF(AR286="","",IF(IFERROR(TRIM(INDEX($A286:$AB286,MATCH(Lists!$B$5,$A$1:$AB$1,0))&amp;""),"")&lt;&gt;"",IFERROR(TRIM(INDEX($A286:$AB286,MATCH(Lists!$B$6,$A$1:$AB$1,0))&amp;""),""),IFERROR(TRIM(INDEX($A286:$AB286,MATCH(Lists!$B$4,$A$1:$AB$1,0))&amp;""),"")))</f>
        <v/>
      </c>
      <c r="AU286" s="31">
        <f>IF(AR286="","",IFERROR(TRIM(INDEX($A286:$AB286,MATCH(Lists!$B$7,$A$1:$AB$1,0))&amp;""),""))</f>
        <v/>
      </c>
      <c r="AV286" s="31">
        <f>IF(AR286="","",IFERROR(TRIM(INDEX($A286:$AB286,MATCH(Lists!$B$9,$A$1:$AB$1,0))&amp;""),""))</f>
        <v/>
      </c>
      <c r="AW286" s="31">
        <f>IF(AR286="","",IFERROR(TRIM(INDEX($A286:$AB286,MATCH(Lists!$B$8,$A$1:$AB$1,0))&amp;""),""))</f>
        <v/>
      </c>
      <c r="AX286" s="23">
        <f>IF(AR286="","",IF(OR(TRIM(AE286&amp;"")&lt;&gt;"",AND(Skills!$B$5&lt;&gt;"",ISNUMBER(SEARCH(Skills!$B$5,AU286)))),1,0))</f>
        <v/>
      </c>
      <c r="AY286" s="23">
        <f>IF(AR286="","",IF(OR(TRIM(AF286&amp;"")&lt;&gt;"",AND(Skills!$B$6&lt;&gt;"",ISNUMBER(SEARCH(Skills!$B$6,AU286)))),1,0))</f>
        <v/>
      </c>
      <c r="AZ286" s="23">
        <f>IF(AR286="","",IF(OR(TRIM(AG286&amp;"")&lt;&gt;"",AND(Skills!$B$7&lt;&gt;"",ISNUMBER(SEARCH(Skills!$B$7,AU286)))),1,0))</f>
        <v/>
      </c>
      <c r="BA286" s="23">
        <f>IF(AR286="","",IF(OR(TRIM(AH286&amp;"")&lt;&gt;"",AND(Skills!$B$8&lt;&gt;"",ISNUMBER(SEARCH(Skills!$B$8,AU286)))),1,0))</f>
        <v/>
      </c>
      <c r="BB286" s="23">
        <f>IF(AR286="","",IF(OR(TRIM(AI286&amp;"")&lt;&gt;"",AND(Skills!$B$9&lt;&gt;"",ISNUMBER(SEARCH(Skills!$B$9,AU286)))),1,0))</f>
        <v/>
      </c>
      <c r="BC286" s="23">
        <f>IF(AR286="","",IF(OR(TRIM(AJ286&amp;"")&lt;&gt;"",AND(Skills!$B$10&lt;&gt;"",ISNUMBER(SEARCH(Skills!$B$10,AU286)))),1,0))</f>
        <v/>
      </c>
      <c r="BD286" s="23">
        <f>IF(AR286="","",IF(OR(TRIM(AK286&amp;"")&lt;&gt;"",AND(Skills!$B$11&lt;&gt;"",ISNUMBER(SEARCH(Skills!$B$11,AU286)))),1,0))</f>
        <v/>
      </c>
      <c r="BE286" s="23">
        <f>IF(AR286="","",IF(OR(TRIM(AL286&amp;"")&lt;&gt;"",AND(Skills!$B$12&lt;&gt;"",ISNUMBER(SEARCH(Skills!$B$12,AU286)))),1,0))</f>
        <v/>
      </c>
      <c r="BF286" s="23">
        <f>IF(AR286="","",IF(OR(TRIM(AM286&amp;"")&lt;&gt;"",AND(Skills!$B$13&lt;&gt;"",ISNUMBER(SEARCH(Skills!$B$13,AU286)))),1,0))</f>
        <v/>
      </c>
      <c r="BG286" s="23">
        <f>IF(AR286="","",IF(OR(TRIM(AN286&amp;"")&lt;&gt;"",AND(Skills!$B$14&lt;&gt;"",ISNUMBER(SEARCH(Skills!$B$14,AU286)))),1,0))</f>
        <v/>
      </c>
      <c r="BH286" s="23">
        <f>IF(AR286="","",IF(OR(TRIM(AO286&amp;"")&lt;&gt;"",AND(Skills!$B$15&lt;&gt;"",ISNUMBER(SEARCH(Skills!$B$15,AU286)))),1,0))</f>
        <v/>
      </c>
      <c r="BI286" s="23">
        <f>IF(AR286="","",IF(OR(TRIM(AP286&amp;"")&lt;&gt;"",AND(Skills!$B$16&lt;&gt;"",ISNUMBER(SEARCH(Skills!$B$16,AU286)))),1,0))</f>
        <v/>
      </c>
      <c r="BJ286" s="23">
        <f>IF(AR286="","",SUMPRODUCT($AX286:$BI286,Skills!$B$20:$M$20))</f>
        <v/>
      </c>
      <c r="BK286" s="23">
        <f>IF(AR286="","",BJ286*100000+(100000-ROW()))</f>
        <v/>
      </c>
      <c r="BL286" s="31">
        <f>IF(AR286="","",IF((IF(AND(AX286=1,Skills!$B$20=1),Skills!$B$5&amp;", ","")&amp;IF(AND(AY286=1,Skills!$C$20=1),Skills!$B$6&amp;", ","")&amp;IF(AND(AZ286=1,Skills!$D$20=1),Skills!$B$7&amp;", ","")&amp;IF(AND(BA286=1,Skills!$E$20=1),Skills!$B$8&amp;", ","")&amp;IF(AND(BB286=1,Skills!$F$20=1),Skills!$B$9&amp;", ","")&amp;IF(AND(BC286=1,Skills!$G$20=1),Skills!$B$10&amp;", ","")&amp;IF(AND(BD286=1,Skills!$H$20=1),Skills!$B$11&amp;", ","")&amp;IF(AND(BE286=1,Skills!$I$20=1),Skills!$B$12&amp;", ","")&amp;IF(AND(BF286=1,Skills!$J$20=1),Skills!$B$13&amp;", ","")&amp;IF(AND(BG286=1,Skills!$K$20=1),Skills!$B$14&amp;", ","")&amp;IF(AND(BH286=1,Skills!$L$20=1),Skills!$B$15&amp;", ","")&amp;IF(AND(BI286=1,Skills!$M$20=1),Skills!$B$16&amp;", ",""))="","",LEFT(IF(AND(AX286=1,Skills!$B$20=1),Skills!$B$5&amp;", ","")&amp;IF(AND(AY286=1,Skills!$C$20=1),Skills!$B$6&amp;", ","")&amp;IF(AND(AZ286=1,Skills!$D$20=1),Skills!$B$7&amp;", ","")&amp;IF(AND(BA286=1,Skills!$E$20=1),Skills!$B$8&amp;", ","")&amp;IF(AND(BB286=1,Skills!$F$20=1),Skills!$B$9&amp;", ","")&amp;IF(AND(BC286=1,Skills!$G$20=1),Skills!$B$10&amp;", ","")&amp;IF(AND(BD286=1,Skills!$H$20=1),Skills!$B$11&amp;", ","")&amp;IF(AND(BE286=1,Skills!$I$20=1),Skills!$B$12&amp;", ","")&amp;IF(AND(BF286=1,Skills!$J$20=1),Skills!$B$13&amp;", ","")&amp;IF(AND(BG286=1,Skills!$K$20=1),Skills!$B$14&amp;", ","")&amp;IF(AND(BH286=1,Skills!$L$20=1),Skills!$B$15&amp;", ","")&amp;IF(AND(BI286=1,Skills!$M$20=1),Skills!$B$16&amp;", ",""),LEN(IF(AND(AX286=1,Skills!$B$20=1),Skills!$B$5&amp;", ","")&amp;IF(AND(AY286=1,Skills!$C$20=1),Skills!$B$6&amp;", ","")&amp;IF(AND(AZ286=1,Skills!$D$20=1),Skills!$B$7&amp;", ","")&amp;IF(AND(BA286=1,Skills!$E$20=1),Skills!$B$8&amp;", ","")&amp;IF(AND(BB286=1,Skills!$F$20=1),Skills!$B$9&amp;", ","")&amp;IF(AND(BC286=1,Skills!$G$20=1),Skills!$B$10&amp;", ","")&amp;IF(AND(BD286=1,Skills!$H$20=1),Skills!$B$11&amp;", ","")&amp;IF(AND(BE286=1,Skills!$I$20=1),Skills!$B$12&amp;", ","")&amp;IF(AND(BF286=1,Skills!$J$20=1),Skills!$B$13&amp;", ","")&amp;IF(AND(BG286=1,Skills!$K$20=1),Skills!$B$14&amp;", ","")&amp;IF(AND(BH286=1,Skills!$L$20=1),Skills!$B$15&amp;", ","")&amp;IF(AND(BI286=1,Skills!$M$20=1),Skills!$B$16&amp;", ",""))-2)))</f>
        <v/>
      </c>
    </row>
    <row r="287">
      <c r="AD287" s="20" t="n"/>
      <c r="AE287" s="20" t="n"/>
      <c r="AF287" s="20" t="n"/>
      <c r="AG287" s="20" t="n"/>
      <c r="AH287" s="20" t="n"/>
      <c r="AI287" s="20" t="n"/>
      <c r="AJ287" s="20" t="n"/>
      <c r="AK287" s="20" t="n"/>
      <c r="AL287" s="20" t="n"/>
      <c r="AM287" s="20" t="n"/>
      <c r="AN287" s="20" t="n"/>
      <c r="AO287" s="20" t="n"/>
      <c r="AP287" s="20" t="n"/>
      <c r="AR287" s="31">
        <f>IF(IFERROR(TRIM(INDEX($A287:$AB287,MATCH(Lists!$B$5,$A$1:$AB$1,0))&amp;""),"")&lt;&gt;"",IFERROR(TRIM(INDEX($A287:$AB287,MATCH(Lists!$B$5,$A$1:$AB$1,0))&amp;""),""),IFERROR(TRIM(INDEX($A287:$AB287,MATCH(Lists!$B$3,$A$1:$AB$1,0))&amp;""),""))</f>
        <v/>
      </c>
      <c r="AS287" s="31">
        <f>IF(AR287="","",IF(IFERROR(TRIM(INDEX($A287:$AB287,MATCH(Lists!$B$5,$A$1:$AB$1,0))&amp;""),"")&lt;&gt;"","Nominated","Applied"))</f>
        <v/>
      </c>
      <c r="AT287" s="31">
        <f>IF(AR287="","",IF(IFERROR(TRIM(INDEX($A287:$AB287,MATCH(Lists!$B$5,$A$1:$AB$1,0))&amp;""),"")&lt;&gt;"",IFERROR(TRIM(INDEX($A287:$AB287,MATCH(Lists!$B$6,$A$1:$AB$1,0))&amp;""),""),IFERROR(TRIM(INDEX($A287:$AB287,MATCH(Lists!$B$4,$A$1:$AB$1,0))&amp;""),"")))</f>
        <v/>
      </c>
      <c r="AU287" s="31">
        <f>IF(AR287="","",IFERROR(TRIM(INDEX($A287:$AB287,MATCH(Lists!$B$7,$A$1:$AB$1,0))&amp;""),""))</f>
        <v/>
      </c>
      <c r="AV287" s="31">
        <f>IF(AR287="","",IFERROR(TRIM(INDEX($A287:$AB287,MATCH(Lists!$B$9,$A$1:$AB$1,0))&amp;""),""))</f>
        <v/>
      </c>
      <c r="AW287" s="31">
        <f>IF(AR287="","",IFERROR(TRIM(INDEX($A287:$AB287,MATCH(Lists!$B$8,$A$1:$AB$1,0))&amp;""),""))</f>
        <v/>
      </c>
      <c r="AX287" s="23">
        <f>IF(AR287="","",IF(OR(TRIM(AE287&amp;"")&lt;&gt;"",AND(Skills!$B$5&lt;&gt;"",ISNUMBER(SEARCH(Skills!$B$5,AU287)))),1,0))</f>
        <v/>
      </c>
      <c r="AY287" s="23">
        <f>IF(AR287="","",IF(OR(TRIM(AF287&amp;"")&lt;&gt;"",AND(Skills!$B$6&lt;&gt;"",ISNUMBER(SEARCH(Skills!$B$6,AU287)))),1,0))</f>
        <v/>
      </c>
      <c r="AZ287" s="23">
        <f>IF(AR287="","",IF(OR(TRIM(AG287&amp;"")&lt;&gt;"",AND(Skills!$B$7&lt;&gt;"",ISNUMBER(SEARCH(Skills!$B$7,AU287)))),1,0))</f>
        <v/>
      </c>
      <c r="BA287" s="23">
        <f>IF(AR287="","",IF(OR(TRIM(AH287&amp;"")&lt;&gt;"",AND(Skills!$B$8&lt;&gt;"",ISNUMBER(SEARCH(Skills!$B$8,AU287)))),1,0))</f>
        <v/>
      </c>
      <c r="BB287" s="23">
        <f>IF(AR287="","",IF(OR(TRIM(AI287&amp;"")&lt;&gt;"",AND(Skills!$B$9&lt;&gt;"",ISNUMBER(SEARCH(Skills!$B$9,AU287)))),1,0))</f>
        <v/>
      </c>
      <c r="BC287" s="23">
        <f>IF(AR287="","",IF(OR(TRIM(AJ287&amp;"")&lt;&gt;"",AND(Skills!$B$10&lt;&gt;"",ISNUMBER(SEARCH(Skills!$B$10,AU287)))),1,0))</f>
        <v/>
      </c>
      <c r="BD287" s="23">
        <f>IF(AR287="","",IF(OR(TRIM(AK287&amp;"")&lt;&gt;"",AND(Skills!$B$11&lt;&gt;"",ISNUMBER(SEARCH(Skills!$B$11,AU287)))),1,0))</f>
        <v/>
      </c>
      <c r="BE287" s="23">
        <f>IF(AR287="","",IF(OR(TRIM(AL287&amp;"")&lt;&gt;"",AND(Skills!$B$12&lt;&gt;"",ISNUMBER(SEARCH(Skills!$B$12,AU287)))),1,0))</f>
        <v/>
      </c>
      <c r="BF287" s="23">
        <f>IF(AR287="","",IF(OR(TRIM(AM287&amp;"")&lt;&gt;"",AND(Skills!$B$13&lt;&gt;"",ISNUMBER(SEARCH(Skills!$B$13,AU287)))),1,0))</f>
        <v/>
      </c>
      <c r="BG287" s="23">
        <f>IF(AR287="","",IF(OR(TRIM(AN287&amp;"")&lt;&gt;"",AND(Skills!$B$14&lt;&gt;"",ISNUMBER(SEARCH(Skills!$B$14,AU287)))),1,0))</f>
        <v/>
      </c>
      <c r="BH287" s="23">
        <f>IF(AR287="","",IF(OR(TRIM(AO287&amp;"")&lt;&gt;"",AND(Skills!$B$15&lt;&gt;"",ISNUMBER(SEARCH(Skills!$B$15,AU287)))),1,0))</f>
        <v/>
      </c>
      <c r="BI287" s="23">
        <f>IF(AR287="","",IF(OR(TRIM(AP287&amp;"")&lt;&gt;"",AND(Skills!$B$16&lt;&gt;"",ISNUMBER(SEARCH(Skills!$B$16,AU287)))),1,0))</f>
        <v/>
      </c>
      <c r="BJ287" s="23">
        <f>IF(AR287="","",SUMPRODUCT($AX287:$BI287,Skills!$B$20:$M$20))</f>
        <v/>
      </c>
      <c r="BK287" s="23">
        <f>IF(AR287="","",BJ287*100000+(100000-ROW()))</f>
        <v/>
      </c>
      <c r="BL287" s="31">
        <f>IF(AR287="","",IF((IF(AND(AX287=1,Skills!$B$20=1),Skills!$B$5&amp;", ","")&amp;IF(AND(AY287=1,Skills!$C$20=1),Skills!$B$6&amp;", ","")&amp;IF(AND(AZ287=1,Skills!$D$20=1),Skills!$B$7&amp;", ","")&amp;IF(AND(BA287=1,Skills!$E$20=1),Skills!$B$8&amp;", ","")&amp;IF(AND(BB287=1,Skills!$F$20=1),Skills!$B$9&amp;", ","")&amp;IF(AND(BC287=1,Skills!$G$20=1),Skills!$B$10&amp;", ","")&amp;IF(AND(BD287=1,Skills!$H$20=1),Skills!$B$11&amp;", ","")&amp;IF(AND(BE287=1,Skills!$I$20=1),Skills!$B$12&amp;", ","")&amp;IF(AND(BF287=1,Skills!$J$20=1),Skills!$B$13&amp;", ","")&amp;IF(AND(BG287=1,Skills!$K$20=1),Skills!$B$14&amp;", ","")&amp;IF(AND(BH287=1,Skills!$L$20=1),Skills!$B$15&amp;", ","")&amp;IF(AND(BI287=1,Skills!$M$20=1),Skills!$B$16&amp;", ",""))="","",LEFT(IF(AND(AX287=1,Skills!$B$20=1),Skills!$B$5&amp;", ","")&amp;IF(AND(AY287=1,Skills!$C$20=1),Skills!$B$6&amp;", ","")&amp;IF(AND(AZ287=1,Skills!$D$20=1),Skills!$B$7&amp;", ","")&amp;IF(AND(BA287=1,Skills!$E$20=1),Skills!$B$8&amp;", ","")&amp;IF(AND(BB287=1,Skills!$F$20=1),Skills!$B$9&amp;", ","")&amp;IF(AND(BC287=1,Skills!$G$20=1),Skills!$B$10&amp;", ","")&amp;IF(AND(BD287=1,Skills!$H$20=1),Skills!$B$11&amp;", ","")&amp;IF(AND(BE287=1,Skills!$I$20=1),Skills!$B$12&amp;", ","")&amp;IF(AND(BF287=1,Skills!$J$20=1),Skills!$B$13&amp;", ","")&amp;IF(AND(BG287=1,Skills!$K$20=1),Skills!$B$14&amp;", ","")&amp;IF(AND(BH287=1,Skills!$L$20=1),Skills!$B$15&amp;", ","")&amp;IF(AND(BI287=1,Skills!$M$20=1),Skills!$B$16&amp;", ",""),LEN(IF(AND(AX287=1,Skills!$B$20=1),Skills!$B$5&amp;", ","")&amp;IF(AND(AY287=1,Skills!$C$20=1),Skills!$B$6&amp;", ","")&amp;IF(AND(AZ287=1,Skills!$D$20=1),Skills!$B$7&amp;", ","")&amp;IF(AND(BA287=1,Skills!$E$20=1),Skills!$B$8&amp;", ","")&amp;IF(AND(BB287=1,Skills!$F$20=1),Skills!$B$9&amp;", ","")&amp;IF(AND(BC287=1,Skills!$G$20=1),Skills!$B$10&amp;", ","")&amp;IF(AND(BD287=1,Skills!$H$20=1),Skills!$B$11&amp;", ","")&amp;IF(AND(BE287=1,Skills!$I$20=1),Skills!$B$12&amp;", ","")&amp;IF(AND(BF287=1,Skills!$J$20=1),Skills!$B$13&amp;", ","")&amp;IF(AND(BG287=1,Skills!$K$20=1),Skills!$B$14&amp;", ","")&amp;IF(AND(BH287=1,Skills!$L$20=1),Skills!$B$15&amp;", ","")&amp;IF(AND(BI287=1,Skills!$M$20=1),Skills!$B$16&amp;", ",""))-2)))</f>
        <v/>
      </c>
    </row>
    <row r="288">
      <c r="AD288" s="20" t="n"/>
      <c r="AE288" s="20" t="n"/>
      <c r="AF288" s="20" t="n"/>
      <c r="AG288" s="20" t="n"/>
      <c r="AH288" s="20" t="n"/>
      <c r="AI288" s="20" t="n"/>
      <c r="AJ288" s="20" t="n"/>
      <c r="AK288" s="20" t="n"/>
      <c r="AL288" s="20" t="n"/>
      <c r="AM288" s="20" t="n"/>
      <c r="AN288" s="20" t="n"/>
      <c r="AO288" s="20" t="n"/>
      <c r="AP288" s="20" t="n"/>
      <c r="AR288" s="31">
        <f>IF(IFERROR(TRIM(INDEX($A288:$AB288,MATCH(Lists!$B$5,$A$1:$AB$1,0))&amp;""),"")&lt;&gt;"",IFERROR(TRIM(INDEX($A288:$AB288,MATCH(Lists!$B$5,$A$1:$AB$1,0))&amp;""),""),IFERROR(TRIM(INDEX($A288:$AB288,MATCH(Lists!$B$3,$A$1:$AB$1,0))&amp;""),""))</f>
        <v/>
      </c>
      <c r="AS288" s="31">
        <f>IF(AR288="","",IF(IFERROR(TRIM(INDEX($A288:$AB288,MATCH(Lists!$B$5,$A$1:$AB$1,0))&amp;""),"")&lt;&gt;"","Nominated","Applied"))</f>
        <v/>
      </c>
      <c r="AT288" s="31">
        <f>IF(AR288="","",IF(IFERROR(TRIM(INDEX($A288:$AB288,MATCH(Lists!$B$5,$A$1:$AB$1,0))&amp;""),"")&lt;&gt;"",IFERROR(TRIM(INDEX($A288:$AB288,MATCH(Lists!$B$6,$A$1:$AB$1,0))&amp;""),""),IFERROR(TRIM(INDEX($A288:$AB288,MATCH(Lists!$B$4,$A$1:$AB$1,0))&amp;""),"")))</f>
        <v/>
      </c>
      <c r="AU288" s="31">
        <f>IF(AR288="","",IFERROR(TRIM(INDEX($A288:$AB288,MATCH(Lists!$B$7,$A$1:$AB$1,0))&amp;""),""))</f>
        <v/>
      </c>
      <c r="AV288" s="31">
        <f>IF(AR288="","",IFERROR(TRIM(INDEX($A288:$AB288,MATCH(Lists!$B$9,$A$1:$AB$1,0))&amp;""),""))</f>
        <v/>
      </c>
      <c r="AW288" s="31">
        <f>IF(AR288="","",IFERROR(TRIM(INDEX($A288:$AB288,MATCH(Lists!$B$8,$A$1:$AB$1,0))&amp;""),""))</f>
        <v/>
      </c>
      <c r="AX288" s="23">
        <f>IF(AR288="","",IF(OR(TRIM(AE288&amp;"")&lt;&gt;"",AND(Skills!$B$5&lt;&gt;"",ISNUMBER(SEARCH(Skills!$B$5,AU288)))),1,0))</f>
        <v/>
      </c>
      <c r="AY288" s="23">
        <f>IF(AR288="","",IF(OR(TRIM(AF288&amp;"")&lt;&gt;"",AND(Skills!$B$6&lt;&gt;"",ISNUMBER(SEARCH(Skills!$B$6,AU288)))),1,0))</f>
        <v/>
      </c>
      <c r="AZ288" s="23">
        <f>IF(AR288="","",IF(OR(TRIM(AG288&amp;"")&lt;&gt;"",AND(Skills!$B$7&lt;&gt;"",ISNUMBER(SEARCH(Skills!$B$7,AU288)))),1,0))</f>
        <v/>
      </c>
      <c r="BA288" s="23">
        <f>IF(AR288="","",IF(OR(TRIM(AH288&amp;"")&lt;&gt;"",AND(Skills!$B$8&lt;&gt;"",ISNUMBER(SEARCH(Skills!$B$8,AU288)))),1,0))</f>
        <v/>
      </c>
      <c r="BB288" s="23">
        <f>IF(AR288="","",IF(OR(TRIM(AI288&amp;"")&lt;&gt;"",AND(Skills!$B$9&lt;&gt;"",ISNUMBER(SEARCH(Skills!$B$9,AU288)))),1,0))</f>
        <v/>
      </c>
      <c r="BC288" s="23">
        <f>IF(AR288="","",IF(OR(TRIM(AJ288&amp;"")&lt;&gt;"",AND(Skills!$B$10&lt;&gt;"",ISNUMBER(SEARCH(Skills!$B$10,AU288)))),1,0))</f>
        <v/>
      </c>
      <c r="BD288" s="23">
        <f>IF(AR288="","",IF(OR(TRIM(AK288&amp;"")&lt;&gt;"",AND(Skills!$B$11&lt;&gt;"",ISNUMBER(SEARCH(Skills!$B$11,AU288)))),1,0))</f>
        <v/>
      </c>
      <c r="BE288" s="23">
        <f>IF(AR288="","",IF(OR(TRIM(AL288&amp;"")&lt;&gt;"",AND(Skills!$B$12&lt;&gt;"",ISNUMBER(SEARCH(Skills!$B$12,AU288)))),1,0))</f>
        <v/>
      </c>
      <c r="BF288" s="23">
        <f>IF(AR288="","",IF(OR(TRIM(AM288&amp;"")&lt;&gt;"",AND(Skills!$B$13&lt;&gt;"",ISNUMBER(SEARCH(Skills!$B$13,AU288)))),1,0))</f>
        <v/>
      </c>
      <c r="BG288" s="23">
        <f>IF(AR288="","",IF(OR(TRIM(AN288&amp;"")&lt;&gt;"",AND(Skills!$B$14&lt;&gt;"",ISNUMBER(SEARCH(Skills!$B$14,AU288)))),1,0))</f>
        <v/>
      </c>
      <c r="BH288" s="23">
        <f>IF(AR288="","",IF(OR(TRIM(AO288&amp;"")&lt;&gt;"",AND(Skills!$B$15&lt;&gt;"",ISNUMBER(SEARCH(Skills!$B$15,AU288)))),1,0))</f>
        <v/>
      </c>
      <c r="BI288" s="23">
        <f>IF(AR288="","",IF(OR(TRIM(AP288&amp;"")&lt;&gt;"",AND(Skills!$B$16&lt;&gt;"",ISNUMBER(SEARCH(Skills!$B$16,AU288)))),1,0))</f>
        <v/>
      </c>
      <c r="BJ288" s="23">
        <f>IF(AR288="","",SUMPRODUCT($AX288:$BI288,Skills!$B$20:$M$20))</f>
        <v/>
      </c>
      <c r="BK288" s="23">
        <f>IF(AR288="","",BJ288*100000+(100000-ROW()))</f>
        <v/>
      </c>
      <c r="BL288" s="31">
        <f>IF(AR288="","",IF((IF(AND(AX288=1,Skills!$B$20=1),Skills!$B$5&amp;", ","")&amp;IF(AND(AY288=1,Skills!$C$20=1),Skills!$B$6&amp;", ","")&amp;IF(AND(AZ288=1,Skills!$D$20=1),Skills!$B$7&amp;", ","")&amp;IF(AND(BA288=1,Skills!$E$20=1),Skills!$B$8&amp;", ","")&amp;IF(AND(BB288=1,Skills!$F$20=1),Skills!$B$9&amp;", ","")&amp;IF(AND(BC288=1,Skills!$G$20=1),Skills!$B$10&amp;", ","")&amp;IF(AND(BD288=1,Skills!$H$20=1),Skills!$B$11&amp;", ","")&amp;IF(AND(BE288=1,Skills!$I$20=1),Skills!$B$12&amp;", ","")&amp;IF(AND(BF288=1,Skills!$J$20=1),Skills!$B$13&amp;", ","")&amp;IF(AND(BG288=1,Skills!$K$20=1),Skills!$B$14&amp;", ","")&amp;IF(AND(BH288=1,Skills!$L$20=1),Skills!$B$15&amp;", ","")&amp;IF(AND(BI288=1,Skills!$M$20=1),Skills!$B$16&amp;", ",""))="","",LEFT(IF(AND(AX288=1,Skills!$B$20=1),Skills!$B$5&amp;", ","")&amp;IF(AND(AY288=1,Skills!$C$20=1),Skills!$B$6&amp;", ","")&amp;IF(AND(AZ288=1,Skills!$D$20=1),Skills!$B$7&amp;", ","")&amp;IF(AND(BA288=1,Skills!$E$20=1),Skills!$B$8&amp;", ","")&amp;IF(AND(BB288=1,Skills!$F$20=1),Skills!$B$9&amp;", ","")&amp;IF(AND(BC288=1,Skills!$G$20=1),Skills!$B$10&amp;", ","")&amp;IF(AND(BD288=1,Skills!$H$20=1),Skills!$B$11&amp;", ","")&amp;IF(AND(BE288=1,Skills!$I$20=1),Skills!$B$12&amp;", ","")&amp;IF(AND(BF288=1,Skills!$J$20=1),Skills!$B$13&amp;", ","")&amp;IF(AND(BG288=1,Skills!$K$20=1),Skills!$B$14&amp;", ","")&amp;IF(AND(BH288=1,Skills!$L$20=1),Skills!$B$15&amp;", ","")&amp;IF(AND(BI288=1,Skills!$M$20=1),Skills!$B$16&amp;", ",""),LEN(IF(AND(AX288=1,Skills!$B$20=1),Skills!$B$5&amp;", ","")&amp;IF(AND(AY288=1,Skills!$C$20=1),Skills!$B$6&amp;", ","")&amp;IF(AND(AZ288=1,Skills!$D$20=1),Skills!$B$7&amp;", ","")&amp;IF(AND(BA288=1,Skills!$E$20=1),Skills!$B$8&amp;", ","")&amp;IF(AND(BB288=1,Skills!$F$20=1),Skills!$B$9&amp;", ","")&amp;IF(AND(BC288=1,Skills!$G$20=1),Skills!$B$10&amp;", ","")&amp;IF(AND(BD288=1,Skills!$H$20=1),Skills!$B$11&amp;", ","")&amp;IF(AND(BE288=1,Skills!$I$20=1),Skills!$B$12&amp;", ","")&amp;IF(AND(BF288=1,Skills!$J$20=1),Skills!$B$13&amp;", ","")&amp;IF(AND(BG288=1,Skills!$K$20=1),Skills!$B$14&amp;", ","")&amp;IF(AND(BH288=1,Skills!$L$20=1),Skills!$B$15&amp;", ","")&amp;IF(AND(BI288=1,Skills!$M$20=1),Skills!$B$16&amp;", ",""))-2)))</f>
        <v/>
      </c>
    </row>
    <row r="289">
      <c r="AD289" s="20" t="n"/>
      <c r="AE289" s="20" t="n"/>
      <c r="AF289" s="20" t="n"/>
      <c r="AG289" s="20" t="n"/>
      <c r="AH289" s="20" t="n"/>
      <c r="AI289" s="20" t="n"/>
      <c r="AJ289" s="20" t="n"/>
      <c r="AK289" s="20" t="n"/>
      <c r="AL289" s="20" t="n"/>
      <c r="AM289" s="20" t="n"/>
      <c r="AN289" s="20" t="n"/>
      <c r="AO289" s="20" t="n"/>
      <c r="AP289" s="20" t="n"/>
      <c r="AR289" s="31">
        <f>IF(IFERROR(TRIM(INDEX($A289:$AB289,MATCH(Lists!$B$5,$A$1:$AB$1,0))&amp;""),"")&lt;&gt;"",IFERROR(TRIM(INDEX($A289:$AB289,MATCH(Lists!$B$5,$A$1:$AB$1,0))&amp;""),""),IFERROR(TRIM(INDEX($A289:$AB289,MATCH(Lists!$B$3,$A$1:$AB$1,0))&amp;""),""))</f>
        <v/>
      </c>
      <c r="AS289" s="31">
        <f>IF(AR289="","",IF(IFERROR(TRIM(INDEX($A289:$AB289,MATCH(Lists!$B$5,$A$1:$AB$1,0))&amp;""),"")&lt;&gt;"","Nominated","Applied"))</f>
        <v/>
      </c>
      <c r="AT289" s="31">
        <f>IF(AR289="","",IF(IFERROR(TRIM(INDEX($A289:$AB289,MATCH(Lists!$B$5,$A$1:$AB$1,0))&amp;""),"")&lt;&gt;"",IFERROR(TRIM(INDEX($A289:$AB289,MATCH(Lists!$B$6,$A$1:$AB$1,0))&amp;""),""),IFERROR(TRIM(INDEX($A289:$AB289,MATCH(Lists!$B$4,$A$1:$AB$1,0))&amp;""),"")))</f>
        <v/>
      </c>
      <c r="AU289" s="31">
        <f>IF(AR289="","",IFERROR(TRIM(INDEX($A289:$AB289,MATCH(Lists!$B$7,$A$1:$AB$1,0))&amp;""),""))</f>
        <v/>
      </c>
      <c r="AV289" s="31">
        <f>IF(AR289="","",IFERROR(TRIM(INDEX($A289:$AB289,MATCH(Lists!$B$9,$A$1:$AB$1,0))&amp;""),""))</f>
        <v/>
      </c>
      <c r="AW289" s="31">
        <f>IF(AR289="","",IFERROR(TRIM(INDEX($A289:$AB289,MATCH(Lists!$B$8,$A$1:$AB$1,0))&amp;""),""))</f>
        <v/>
      </c>
      <c r="AX289" s="23">
        <f>IF(AR289="","",IF(OR(TRIM(AE289&amp;"")&lt;&gt;"",AND(Skills!$B$5&lt;&gt;"",ISNUMBER(SEARCH(Skills!$B$5,AU289)))),1,0))</f>
        <v/>
      </c>
      <c r="AY289" s="23">
        <f>IF(AR289="","",IF(OR(TRIM(AF289&amp;"")&lt;&gt;"",AND(Skills!$B$6&lt;&gt;"",ISNUMBER(SEARCH(Skills!$B$6,AU289)))),1,0))</f>
        <v/>
      </c>
      <c r="AZ289" s="23">
        <f>IF(AR289="","",IF(OR(TRIM(AG289&amp;"")&lt;&gt;"",AND(Skills!$B$7&lt;&gt;"",ISNUMBER(SEARCH(Skills!$B$7,AU289)))),1,0))</f>
        <v/>
      </c>
      <c r="BA289" s="23">
        <f>IF(AR289="","",IF(OR(TRIM(AH289&amp;"")&lt;&gt;"",AND(Skills!$B$8&lt;&gt;"",ISNUMBER(SEARCH(Skills!$B$8,AU289)))),1,0))</f>
        <v/>
      </c>
      <c r="BB289" s="23">
        <f>IF(AR289="","",IF(OR(TRIM(AI289&amp;"")&lt;&gt;"",AND(Skills!$B$9&lt;&gt;"",ISNUMBER(SEARCH(Skills!$B$9,AU289)))),1,0))</f>
        <v/>
      </c>
      <c r="BC289" s="23">
        <f>IF(AR289="","",IF(OR(TRIM(AJ289&amp;"")&lt;&gt;"",AND(Skills!$B$10&lt;&gt;"",ISNUMBER(SEARCH(Skills!$B$10,AU289)))),1,0))</f>
        <v/>
      </c>
      <c r="BD289" s="23">
        <f>IF(AR289="","",IF(OR(TRIM(AK289&amp;"")&lt;&gt;"",AND(Skills!$B$11&lt;&gt;"",ISNUMBER(SEARCH(Skills!$B$11,AU289)))),1,0))</f>
        <v/>
      </c>
      <c r="BE289" s="23">
        <f>IF(AR289="","",IF(OR(TRIM(AL289&amp;"")&lt;&gt;"",AND(Skills!$B$12&lt;&gt;"",ISNUMBER(SEARCH(Skills!$B$12,AU289)))),1,0))</f>
        <v/>
      </c>
      <c r="BF289" s="23">
        <f>IF(AR289="","",IF(OR(TRIM(AM289&amp;"")&lt;&gt;"",AND(Skills!$B$13&lt;&gt;"",ISNUMBER(SEARCH(Skills!$B$13,AU289)))),1,0))</f>
        <v/>
      </c>
      <c r="BG289" s="23">
        <f>IF(AR289="","",IF(OR(TRIM(AN289&amp;"")&lt;&gt;"",AND(Skills!$B$14&lt;&gt;"",ISNUMBER(SEARCH(Skills!$B$14,AU289)))),1,0))</f>
        <v/>
      </c>
      <c r="BH289" s="23">
        <f>IF(AR289="","",IF(OR(TRIM(AO289&amp;"")&lt;&gt;"",AND(Skills!$B$15&lt;&gt;"",ISNUMBER(SEARCH(Skills!$B$15,AU289)))),1,0))</f>
        <v/>
      </c>
      <c r="BI289" s="23">
        <f>IF(AR289="","",IF(OR(TRIM(AP289&amp;"")&lt;&gt;"",AND(Skills!$B$16&lt;&gt;"",ISNUMBER(SEARCH(Skills!$B$16,AU289)))),1,0))</f>
        <v/>
      </c>
      <c r="BJ289" s="23">
        <f>IF(AR289="","",SUMPRODUCT($AX289:$BI289,Skills!$B$20:$M$20))</f>
        <v/>
      </c>
      <c r="BK289" s="23">
        <f>IF(AR289="","",BJ289*100000+(100000-ROW()))</f>
        <v/>
      </c>
      <c r="BL289" s="31">
        <f>IF(AR289="","",IF((IF(AND(AX289=1,Skills!$B$20=1),Skills!$B$5&amp;", ","")&amp;IF(AND(AY289=1,Skills!$C$20=1),Skills!$B$6&amp;", ","")&amp;IF(AND(AZ289=1,Skills!$D$20=1),Skills!$B$7&amp;", ","")&amp;IF(AND(BA289=1,Skills!$E$20=1),Skills!$B$8&amp;", ","")&amp;IF(AND(BB289=1,Skills!$F$20=1),Skills!$B$9&amp;", ","")&amp;IF(AND(BC289=1,Skills!$G$20=1),Skills!$B$10&amp;", ","")&amp;IF(AND(BD289=1,Skills!$H$20=1),Skills!$B$11&amp;", ","")&amp;IF(AND(BE289=1,Skills!$I$20=1),Skills!$B$12&amp;", ","")&amp;IF(AND(BF289=1,Skills!$J$20=1),Skills!$B$13&amp;", ","")&amp;IF(AND(BG289=1,Skills!$K$20=1),Skills!$B$14&amp;", ","")&amp;IF(AND(BH289=1,Skills!$L$20=1),Skills!$B$15&amp;", ","")&amp;IF(AND(BI289=1,Skills!$M$20=1),Skills!$B$16&amp;", ",""))="","",LEFT(IF(AND(AX289=1,Skills!$B$20=1),Skills!$B$5&amp;", ","")&amp;IF(AND(AY289=1,Skills!$C$20=1),Skills!$B$6&amp;", ","")&amp;IF(AND(AZ289=1,Skills!$D$20=1),Skills!$B$7&amp;", ","")&amp;IF(AND(BA289=1,Skills!$E$20=1),Skills!$B$8&amp;", ","")&amp;IF(AND(BB289=1,Skills!$F$20=1),Skills!$B$9&amp;", ","")&amp;IF(AND(BC289=1,Skills!$G$20=1),Skills!$B$10&amp;", ","")&amp;IF(AND(BD289=1,Skills!$H$20=1),Skills!$B$11&amp;", ","")&amp;IF(AND(BE289=1,Skills!$I$20=1),Skills!$B$12&amp;", ","")&amp;IF(AND(BF289=1,Skills!$J$20=1),Skills!$B$13&amp;", ","")&amp;IF(AND(BG289=1,Skills!$K$20=1),Skills!$B$14&amp;", ","")&amp;IF(AND(BH289=1,Skills!$L$20=1),Skills!$B$15&amp;", ","")&amp;IF(AND(BI289=1,Skills!$M$20=1),Skills!$B$16&amp;", ",""),LEN(IF(AND(AX289=1,Skills!$B$20=1),Skills!$B$5&amp;", ","")&amp;IF(AND(AY289=1,Skills!$C$20=1),Skills!$B$6&amp;", ","")&amp;IF(AND(AZ289=1,Skills!$D$20=1),Skills!$B$7&amp;", ","")&amp;IF(AND(BA289=1,Skills!$E$20=1),Skills!$B$8&amp;", ","")&amp;IF(AND(BB289=1,Skills!$F$20=1),Skills!$B$9&amp;", ","")&amp;IF(AND(BC289=1,Skills!$G$20=1),Skills!$B$10&amp;", ","")&amp;IF(AND(BD289=1,Skills!$H$20=1),Skills!$B$11&amp;", ","")&amp;IF(AND(BE289=1,Skills!$I$20=1),Skills!$B$12&amp;", ","")&amp;IF(AND(BF289=1,Skills!$J$20=1),Skills!$B$13&amp;", ","")&amp;IF(AND(BG289=1,Skills!$K$20=1),Skills!$B$14&amp;", ","")&amp;IF(AND(BH289=1,Skills!$L$20=1),Skills!$B$15&amp;", ","")&amp;IF(AND(BI289=1,Skills!$M$20=1),Skills!$B$16&amp;", ",""))-2)))</f>
        <v/>
      </c>
    </row>
    <row r="290">
      <c r="AD290" s="20" t="n"/>
      <c r="AE290" s="20" t="n"/>
      <c r="AF290" s="20" t="n"/>
      <c r="AG290" s="20" t="n"/>
      <c r="AH290" s="20" t="n"/>
      <c r="AI290" s="20" t="n"/>
      <c r="AJ290" s="20" t="n"/>
      <c r="AK290" s="20" t="n"/>
      <c r="AL290" s="20" t="n"/>
      <c r="AM290" s="20" t="n"/>
      <c r="AN290" s="20" t="n"/>
      <c r="AO290" s="20" t="n"/>
      <c r="AP290" s="20" t="n"/>
      <c r="AR290" s="31">
        <f>IF(IFERROR(TRIM(INDEX($A290:$AB290,MATCH(Lists!$B$5,$A$1:$AB$1,0))&amp;""),"")&lt;&gt;"",IFERROR(TRIM(INDEX($A290:$AB290,MATCH(Lists!$B$5,$A$1:$AB$1,0))&amp;""),""),IFERROR(TRIM(INDEX($A290:$AB290,MATCH(Lists!$B$3,$A$1:$AB$1,0))&amp;""),""))</f>
        <v/>
      </c>
      <c r="AS290" s="31">
        <f>IF(AR290="","",IF(IFERROR(TRIM(INDEX($A290:$AB290,MATCH(Lists!$B$5,$A$1:$AB$1,0))&amp;""),"")&lt;&gt;"","Nominated","Applied"))</f>
        <v/>
      </c>
      <c r="AT290" s="31">
        <f>IF(AR290="","",IF(IFERROR(TRIM(INDEX($A290:$AB290,MATCH(Lists!$B$5,$A$1:$AB$1,0))&amp;""),"")&lt;&gt;"",IFERROR(TRIM(INDEX($A290:$AB290,MATCH(Lists!$B$6,$A$1:$AB$1,0))&amp;""),""),IFERROR(TRIM(INDEX($A290:$AB290,MATCH(Lists!$B$4,$A$1:$AB$1,0))&amp;""),"")))</f>
        <v/>
      </c>
      <c r="AU290" s="31">
        <f>IF(AR290="","",IFERROR(TRIM(INDEX($A290:$AB290,MATCH(Lists!$B$7,$A$1:$AB$1,0))&amp;""),""))</f>
        <v/>
      </c>
      <c r="AV290" s="31">
        <f>IF(AR290="","",IFERROR(TRIM(INDEX($A290:$AB290,MATCH(Lists!$B$9,$A$1:$AB$1,0))&amp;""),""))</f>
        <v/>
      </c>
      <c r="AW290" s="31">
        <f>IF(AR290="","",IFERROR(TRIM(INDEX($A290:$AB290,MATCH(Lists!$B$8,$A$1:$AB$1,0))&amp;""),""))</f>
        <v/>
      </c>
      <c r="AX290" s="23">
        <f>IF(AR290="","",IF(OR(TRIM(AE290&amp;"")&lt;&gt;"",AND(Skills!$B$5&lt;&gt;"",ISNUMBER(SEARCH(Skills!$B$5,AU290)))),1,0))</f>
        <v/>
      </c>
      <c r="AY290" s="23">
        <f>IF(AR290="","",IF(OR(TRIM(AF290&amp;"")&lt;&gt;"",AND(Skills!$B$6&lt;&gt;"",ISNUMBER(SEARCH(Skills!$B$6,AU290)))),1,0))</f>
        <v/>
      </c>
      <c r="AZ290" s="23">
        <f>IF(AR290="","",IF(OR(TRIM(AG290&amp;"")&lt;&gt;"",AND(Skills!$B$7&lt;&gt;"",ISNUMBER(SEARCH(Skills!$B$7,AU290)))),1,0))</f>
        <v/>
      </c>
      <c r="BA290" s="23">
        <f>IF(AR290="","",IF(OR(TRIM(AH290&amp;"")&lt;&gt;"",AND(Skills!$B$8&lt;&gt;"",ISNUMBER(SEARCH(Skills!$B$8,AU290)))),1,0))</f>
        <v/>
      </c>
      <c r="BB290" s="23">
        <f>IF(AR290="","",IF(OR(TRIM(AI290&amp;"")&lt;&gt;"",AND(Skills!$B$9&lt;&gt;"",ISNUMBER(SEARCH(Skills!$B$9,AU290)))),1,0))</f>
        <v/>
      </c>
      <c r="BC290" s="23">
        <f>IF(AR290="","",IF(OR(TRIM(AJ290&amp;"")&lt;&gt;"",AND(Skills!$B$10&lt;&gt;"",ISNUMBER(SEARCH(Skills!$B$10,AU290)))),1,0))</f>
        <v/>
      </c>
      <c r="BD290" s="23">
        <f>IF(AR290="","",IF(OR(TRIM(AK290&amp;"")&lt;&gt;"",AND(Skills!$B$11&lt;&gt;"",ISNUMBER(SEARCH(Skills!$B$11,AU290)))),1,0))</f>
        <v/>
      </c>
      <c r="BE290" s="23">
        <f>IF(AR290="","",IF(OR(TRIM(AL290&amp;"")&lt;&gt;"",AND(Skills!$B$12&lt;&gt;"",ISNUMBER(SEARCH(Skills!$B$12,AU290)))),1,0))</f>
        <v/>
      </c>
      <c r="BF290" s="23">
        <f>IF(AR290="","",IF(OR(TRIM(AM290&amp;"")&lt;&gt;"",AND(Skills!$B$13&lt;&gt;"",ISNUMBER(SEARCH(Skills!$B$13,AU290)))),1,0))</f>
        <v/>
      </c>
      <c r="BG290" s="23">
        <f>IF(AR290="","",IF(OR(TRIM(AN290&amp;"")&lt;&gt;"",AND(Skills!$B$14&lt;&gt;"",ISNUMBER(SEARCH(Skills!$B$14,AU290)))),1,0))</f>
        <v/>
      </c>
      <c r="BH290" s="23">
        <f>IF(AR290="","",IF(OR(TRIM(AO290&amp;"")&lt;&gt;"",AND(Skills!$B$15&lt;&gt;"",ISNUMBER(SEARCH(Skills!$B$15,AU290)))),1,0))</f>
        <v/>
      </c>
      <c r="BI290" s="23">
        <f>IF(AR290="","",IF(OR(TRIM(AP290&amp;"")&lt;&gt;"",AND(Skills!$B$16&lt;&gt;"",ISNUMBER(SEARCH(Skills!$B$16,AU290)))),1,0))</f>
        <v/>
      </c>
      <c r="BJ290" s="23">
        <f>IF(AR290="","",SUMPRODUCT($AX290:$BI290,Skills!$B$20:$M$20))</f>
        <v/>
      </c>
      <c r="BK290" s="23">
        <f>IF(AR290="","",BJ290*100000+(100000-ROW()))</f>
        <v/>
      </c>
      <c r="BL290" s="31">
        <f>IF(AR290="","",IF((IF(AND(AX290=1,Skills!$B$20=1),Skills!$B$5&amp;", ","")&amp;IF(AND(AY290=1,Skills!$C$20=1),Skills!$B$6&amp;", ","")&amp;IF(AND(AZ290=1,Skills!$D$20=1),Skills!$B$7&amp;", ","")&amp;IF(AND(BA290=1,Skills!$E$20=1),Skills!$B$8&amp;", ","")&amp;IF(AND(BB290=1,Skills!$F$20=1),Skills!$B$9&amp;", ","")&amp;IF(AND(BC290=1,Skills!$G$20=1),Skills!$B$10&amp;", ","")&amp;IF(AND(BD290=1,Skills!$H$20=1),Skills!$B$11&amp;", ","")&amp;IF(AND(BE290=1,Skills!$I$20=1),Skills!$B$12&amp;", ","")&amp;IF(AND(BF290=1,Skills!$J$20=1),Skills!$B$13&amp;", ","")&amp;IF(AND(BG290=1,Skills!$K$20=1),Skills!$B$14&amp;", ","")&amp;IF(AND(BH290=1,Skills!$L$20=1),Skills!$B$15&amp;", ","")&amp;IF(AND(BI290=1,Skills!$M$20=1),Skills!$B$16&amp;", ",""))="","",LEFT(IF(AND(AX290=1,Skills!$B$20=1),Skills!$B$5&amp;", ","")&amp;IF(AND(AY290=1,Skills!$C$20=1),Skills!$B$6&amp;", ","")&amp;IF(AND(AZ290=1,Skills!$D$20=1),Skills!$B$7&amp;", ","")&amp;IF(AND(BA290=1,Skills!$E$20=1),Skills!$B$8&amp;", ","")&amp;IF(AND(BB290=1,Skills!$F$20=1),Skills!$B$9&amp;", ","")&amp;IF(AND(BC290=1,Skills!$G$20=1),Skills!$B$10&amp;", ","")&amp;IF(AND(BD290=1,Skills!$H$20=1),Skills!$B$11&amp;", ","")&amp;IF(AND(BE290=1,Skills!$I$20=1),Skills!$B$12&amp;", ","")&amp;IF(AND(BF290=1,Skills!$J$20=1),Skills!$B$13&amp;", ","")&amp;IF(AND(BG290=1,Skills!$K$20=1),Skills!$B$14&amp;", ","")&amp;IF(AND(BH290=1,Skills!$L$20=1),Skills!$B$15&amp;", ","")&amp;IF(AND(BI290=1,Skills!$M$20=1),Skills!$B$16&amp;", ",""),LEN(IF(AND(AX290=1,Skills!$B$20=1),Skills!$B$5&amp;", ","")&amp;IF(AND(AY290=1,Skills!$C$20=1),Skills!$B$6&amp;", ","")&amp;IF(AND(AZ290=1,Skills!$D$20=1),Skills!$B$7&amp;", ","")&amp;IF(AND(BA290=1,Skills!$E$20=1),Skills!$B$8&amp;", ","")&amp;IF(AND(BB290=1,Skills!$F$20=1),Skills!$B$9&amp;", ","")&amp;IF(AND(BC290=1,Skills!$G$20=1),Skills!$B$10&amp;", ","")&amp;IF(AND(BD290=1,Skills!$H$20=1),Skills!$B$11&amp;", ","")&amp;IF(AND(BE290=1,Skills!$I$20=1),Skills!$B$12&amp;", ","")&amp;IF(AND(BF290=1,Skills!$J$20=1),Skills!$B$13&amp;", ","")&amp;IF(AND(BG290=1,Skills!$K$20=1),Skills!$B$14&amp;", ","")&amp;IF(AND(BH290=1,Skills!$L$20=1),Skills!$B$15&amp;", ","")&amp;IF(AND(BI290=1,Skills!$M$20=1),Skills!$B$16&amp;", ",""))-2)))</f>
        <v/>
      </c>
    </row>
    <row r="291">
      <c r="AD291" s="20" t="n"/>
      <c r="AE291" s="20" t="n"/>
      <c r="AF291" s="20" t="n"/>
      <c r="AG291" s="20" t="n"/>
      <c r="AH291" s="20" t="n"/>
      <c r="AI291" s="20" t="n"/>
      <c r="AJ291" s="20" t="n"/>
      <c r="AK291" s="20" t="n"/>
      <c r="AL291" s="20" t="n"/>
      <c r="AM291" s="20" t="n"/>
      <c r="AN291" s="20" t="n"/>
      <c r="AO291" s="20" t="n"/>
      <c r="AP291" s="20" t="n"/>
      <c r="AR291" s="31">
        <f>IF(IFERROR(TRIM(INDEX($A291:$AB291,MATCH(Lists!$B$5,$A$1:$AB$1,0))&amp;""),"")&lt;&gt;"",IFERROR(TRIM(INDEX($A291:$AB291,MATCH(Lists!$B$5,$A$1:$AB$1,0))&amp;""),""),IFERROR(TRIM(INDEX($A291:$AB291,MATCH(Lists!$B$3,$A$1:$AB$1,0))&amp;""),""))</f>
        <v/>
      </c>
      <c r="AS291" s="31">
        <f>IF(AR291="","",IF(IFERROR(TRIM(INDEX($A291:$AB291,MATCH(Lists!$B$5,$A$1:$AB$1,0))&amp;""),"")&lt;&gt;"","Nominated","Applied"))</f>
        <v/>
      </c>
      <c r="AT291" s="31">
        <f>IF(AR291="","",IF(IFERROR(TRIM(INDEX($A291:$AB291,MATCH(Lists!$B$5,$A$1:$AB$1,0))&amp;""),"")&lt;&gt;"",IFERROR(TRIM(INDEX($A291:$AB291,MATCH(Lists!$B$6,$A$1:$AB$1,0))&amp;""),""),IFERROR(TRIM(INDEX($A291:$AB291,MATCH(Lists!$B$4,$A$1:$AB$1,0))&amp;""),"")))</f>
        <v/>
      </c>
      <c r="AU291" s="31">
        <f>IF(AR291="","",IFERROR(TRIM(INDEX($A291:$AB291,MATCH(Lists!$B$7,$A$1:$AB$1,0))&amp;""),""))</f>
        <v/>
      </c>
      <c r="AV291" s="31">
        <f>IF(AR291="","",IFERROR(TRIM(INDEX($A291:$AB291,MATCH(Lists!$B$9,$A$1:$AB$1,0))&amp;""),""))</f>
        <v/>
      </c>
      <c r="AW291" s="31">
        <f>IF(AR291="","",IFERROR(TRIM(INDEX($A291:$AB291,MATCH(Lists!$B$8,$A$1:$AB$1,0))&amp;""),""))</f>
        <v/>
      </c>
      <c r="AX291" s="23">
        <f>IF(AR291="","",IF(OR(TRIM(AE291&amp;"")&lt;&gt;"",AND(Skills!$B$5&lt;&gt;"",ISNUMBER(SEARCH(Skills!$B$5,AU291)))),1,0))</f>
        <v/>
      </c>
      <c r="AY291" s="23">
        <f>IF(AR291="","",IF(OR(TRIM(AF291&amp;"")&lt;&gt;"",AND(Skills!$B$6&lt;&gt;"",ISNUMBER(SEARCH(Skills!$B$6,AU291)))),1,0))</f>
        <v/>
      </c>
      <c r="AZ291" s="23">
        <f>IF(AR291="","",IF(OR(TRIM(AG291&amp;"")&lt;&gt;"",AND(Skills!$B$7&lt;&gt;"",ISNUMBER(SEARCH(Skills!$B$7,AU291)))),1,0))</f>
        <v/>
      </c>
      <c r="BA291" s="23">
        <f>IF(AR291="","",IF(OR(TRIM(AH291&amp;"")&lt;&gt;"",AND(Skills!$B$8&lt;&gt;"",ISNUMBER(SEARCH(Skills!$B$8,AU291)))),1,0))</f>
        <v/>
      </c>
      <c r="BB291" s="23">
        <f>IF(AR291="","",IF(OR(TRIM(AI291&amp;"")&lt;&gt;"",AND(Skills!$B$9&lt;&gt;"",ISNUMBER(SEARCH(Skills!$B$9,AU291)))),1,0))</f>
        <v/>
      </c>
      <c r="BC291" s="23">
        <f>IF(AR291="","",IF(OR(TRIM(AJ291&amp;"")&lt;&gt;"",AND(Skills!$B$10&lt;&gt;"",ISNUMBER(SEARCH(Skills!$B$10,AU291)))),1,0))</f>
        <v/>
      </c>
      <c r="BD291" s="23">
        <f>IF(AR291="","",IF(OR(TRIM(AK291&amp;"")&lt;&gt;"",AND(Skills!$B$11&lt;&gt;"",ISNUMBER(SEARCH(Skills!$B$11,AU291)))),1,0))</f>
        <v/>
      </c>
      <c r="BE291" s="23">
        <f>IF(AR291="","",IF(OR(TRIM(AL291&amp;"")&lt;&gt;"",AND(Skills!$B$12&lt;&gt;"",ISNUMBER(SEARCH(Skills!$B$12,AU291)))),1,0))</f>
        <v/>
      </c>
      <c r="BF291" s="23">
        <f>IF(AR291="","",IF(OR(TRIM(AM291&amp;"")&lt;&gt;"",AND(Skills!$B$13&lt;&gt;"",ISNUMBER(SEARCH(Skills!$B$13,AU291)))),1,0))</f>
        <v/>
      </c>
      <c r="BG291" s="23">
        <f>IF(AR291="","",IF(OR(TRIM(AN291&amp;"")&lt;&gt;"",AND(Skills!$B$14&lt;&gt;"",ISNUMBER(SEARCH(Skills!$B$14,AU291)))),1,0))</f>
        <v/>
      </c>
      <c r="BH291" s="23">
        <f>IF(AR291="","",IF(OR(TRIM(AO291&amp;"")&lt;&gt;"",AND(Skills!$B$15&lt;&gt;"",ISNUMBER(SEARCH(Skills!$B$15,AU291)))),1,0))</f>
        <v/>
      </c>
      <c r="BI291" s="23">
        <f>IF(AR291="","",IF(OR(TRIM(AP291&amp;"")&lt;&gt;"",AND(Skills!$B$16&lt;&gt;"",ISNUMBER(SEARCH(Skills!$B$16,AU291)))),1,0))</f>
        <v/>
      </c>
      <c r="BJ291" s="23">
        <f>IF(AR291="","",SUMPRODUCT($AX291:$BI291,Skills!$B$20:$M$20))</f>
        <v/>
      </c>
      <c r="BK291" s="23">
        <f>IF(AR291="","",BJ291*100000+(100000-ROW()))</f>
        <v/>
      </c>
      <c r="BL291" s="31">
        <f>IF(AR291="","",IF((IF(AND(AX291=1,Skills!$B$20=1),Skills!$B$5&amp;", ","")&amp;IF(AND(AY291=1,Skills!$C$20=1),Skills!$B$6&amp;", ","")&amp;IF(AND(AZ291=1,Skills!$D$20=1),Skills!$B$7&amp;", ","")&amp;IF(AND(BA291=1,Skills!$E$20=1),Skills!$B$8&amp;", ","")&amp;IF(AND(BB291=1,Skills!$F$20=1),Skills!$B$9&amp;", ","")&amp;IF(AND(BC291=1,Skills!$G$20=1),Skills!$B$10&amp;", ","")&amp;IF(AND(BD291=1,Skills!$H$20=1),Skills!$B$11&amp;", ","")&amp;IF(AND(BE291=1,Skills!$I$20=1),Skills!$B$12&amp;", ","")&amp;IF(AND(BF291=1,Skills!$J$20=1),Skills!$B$13&amp;", ","")&amp;IF(AND(BG291=1,Skills!$K$20=1),Skills!$B$14&amp;", ","")&amp;IF(AND(BH291=1,Skills!$L$20=1),Skills!$B$15&amp;", ","")&amp;IF(AND(BI291=1,Skills!$M$20=1),Skills!$B$16&amp;", ",""))="","",LEFT(IF(AND(AX291=1,Skills!$B$20=1),Skills!$B$5&amp;", ","")&amp;IF(AND(AY291=1,Skills!$C$20=1),Skills!$B$6&amp;", ","")&amp;IF(AND(AZ291=1,Skills!$D$20=1),Skills!$B$7&amp;", ","")&amp;IF(AND(BA291=1,Skills!$E$20=1),Skills!$B$8&amp;", ","")&amp;IF(AND(BB291=1,Skills!$F$20=1),Skills!$B$9&amp;", ","")&amp;IF(AND(BC291=1,Skills!$G$20=1),Skills!$B$10&amp;", ","")&amp;IF(AND(BD291=1,Skills!$H$20=1),Skills!$B$11&amp;", ","")&amp;IF(AND(BE291=1,Skills!$I$20=1),Skills!$B$12&amp;", ","")&amp;IF(AND(BF291=1,Skills!$J$20=1),Skills!$B$13&amp;", ","")&amp;IF(AND(BG291=1,Skills!$K$20=1),Skills!$B$14&amp;", ","")&amp;IF(AND(BH291=1,Skills!$L$20=1),Skills!$B$15&amp;", ","")&amp;IF(AND(BI291=1,Skills!$M$20=1),Skills!$B$16&amp;", ",""),LEN(IF(AND(AX291=1,Skills!$B$20=1),Skills!$B$5&amp;", ","")&amp;IF(AND(AY291=1,Skills!$C$20=1),Skills!$B$6&amp;", ","")&amp;IF(AND(AZ291=1,Skills!$D$20=1),Skills!$B$7&amp;", ","")&amp;IF(AND(BA291=1,Skills!$E$20=1),Skills!$B$8&amp;", ","")&amp;IF(AND(BB291=1,Skills!$F$20=1),Skills!$B$9&amp;", ","")&amp;IF(AND(BC291=1,Skills!$G$20=1),Skills!$B$10&amp;", ","")&amp;IF(AND(BD291=1,Skills!$H$20=1),Skills!$B$11&amp;", ","")&amp;IF(AND(BE291=1,Skills!$I$20=1),Skills!$B$12&amp;", ","")&amp;IF(AND(BF291=1,Skills!$J$20=1),Skills!$B$13&amp;", ","")&amp;IF(AND(BG291=1,Skills!$K$20=1),Skills!$B$14&amp;", ","")&amp;IF(AND(BH291=1,Skills!$L$20=1),Skills!$B$15&amp;", ","")&amp;IF(AND(BI291=1,Skills!$M$20=1),Skills!$B$16&amp;", ",""))-2)))</f>
        <v/>
      </c>
    </row>
    <row r="292">
      <c r="AD292" s="20" t="n"/>
      <c r="AE292" s="20" t="n"/>
      <c r="AF292" s="20" t="n"/>
      <c r="AG292" s="20" t="n"/>
      <c r="AH292" s="20" t="n"/>
      <c r="AI292" s="20" t="n"/>
      <c r="AJ292" s="20" t="n"/>
      <c r="AK292" s="20" t="n"/>
      <c r="AL292" s="20" t="n"/>
      <c r="AM292" s="20" t="n"/>
      <c r="AN292" s="20" t="n"/>
      <c r="AO292" s="20" t="n"/>
      <c r="AP292" s="20" t="n"/>
      <c r="AR292" s="31">
        <f>IF(IFERROR(TRIM(INDEX($A292:$AB292,MATCH(Lists!$B$5,$A$1:$AB$1,0))&amp;""),"")&lt;&gt;"",IFERROR(TRIM(INDEX($A292:$AB292,MATCH(Lists!$B$5,$A$1:$AB$1,0))&amp;""),""),IFERROR(TRIM(INDEX($A292:$AB292,MATCH(Lists!$B$3,$A$1:$AB$1,0))&amp;""),""))</f>
        <v/>
      </c>
      <c r="AS292" s="31">
        <f>IF(AR292="","",IF(IFERROR(TRIM(INDEX($A292:$AB292,MATCH(Lists!$B$5,$A$1:$AB$1,0))&amp;""),"")&lt;&gt;"","Nominated","Applied"))</f>
        <v/>
      </c>
      <c r="AT292" s="31">
        <f>IF(AR292="","",IF(IFERROR(TRIM(INDEX($A292:$AB292,MATCH(Lists!$B$5,$A$1:$AB$1,0))&amp;""),"")&lt;&gt;"",IFERROR(TRIM(INDEX($A292:$AB292,MATCH(Lists!$B$6,$A$1:$AB$1,0))&amp;""),""),IFERROR(TRIM(INDEX($A292:$AB292,MATCH(Lists!$B$4,$A$1:$AB$1,0))&amp;""),"")))</f>
        <v/>
      </c>
      <c r="AU292" s="31">
        <f>IF(AR292="","",IFERROR(TRIM(INDEX($A292:$AB292,MATCH(Lists!$B$7,$A$1:$AB$1,0))&amp;""),""))</f>
        <v/>
      </c>
      <c r="AV292" s="31">
        <f>IF(AR292="","",IFERROR(TRIM(INDEX($A292:$AB292,MATCH(Lists!$B$9,$A$1:$AB$1,0))&amp;""),""))</f>
        <v/>
      </c>
      <c r="AW292" s="31">
        <f>IF(AR292="","",IFERROR(TRIM(INDEX($A292:$AB292,MATCH(Lists!$B$8,$A$1:$AB$1,0))&amp;""),""))</f>
        <v/>
      </c>
      <c r="AX292" s="23">
        <f>IF(AR292="","",IF(OR(TRIM(AE292&amp;"")&lt;&gt;"",AND(Skills!$B$5&lt;&gt;"",ISNUMBER(SEARCH(Skills!$B$5,AU292)))),1,0))</f>
        <v/>
      </c>
      <c r="AY292" s="23">
        <f>IF(AR292="","",IF(OR(TRIM(AF292&amp;"")&lt;&gt;"",AND(Skills!$B$6&lt;&gt;"",ISNUMBER(SEARCH(Skills!$B$6,AU292)))),1,0))</f>
        <v/>
      </c>
      <c r="AZ292" s="23">
        <f>IF(AR292="","",IF(OR(TRIM(AG292&amp;"")&lt;&gt;"",AND(Skills!$B$7&lt;&gt;"",ISNUMBER(SEARCH(Skills!$B$7,AU292)))),1,0))</f>
        <v/>
      </c>
      <c r="BA292" s="23">
        <f>IF(AR292="","",IF(OR(TRIM(AH292&amp;"")&lt;&gt;"",AND(Skills!$B$8&lt;&gt;"",ISNUMBER(SEARCH(Skills!$B$8,AU292)))),1,0))</f>
        <v/>
      </c>
      <c r="BB292" s="23">
        <f>IF(AR292="","",IF(OR(TRIM(AI292&amp;"")&lt;&gt;"",AND(Skills!$B$9&lt;&gt;"",ISNUMBER(SEARCH(Skills!$B$9,AU292)))),1,0))</f>
        <v/>
      </c>
      <c r="BC292" s="23">
        <f>IF(AR292="","",IF(OR(TRIM(AJ292&amp;"")&lt;&gt;"",AND(Skills!$B$10&lt;&gt;"",ISNUMBER(SEARCH(Skills!$B$10,AU292)))),1,0))</f>
        <v/>
      </c>
      <c r="BD292" s="23">
        <f>IF(AR292="","",IF(OR(TRIM(AK292&amp;"")&lt;&gt;"",AND(Skills!$B$11&lt;&gt;"",ISNUMBER(SEARCH(Skills!$B$11,AU292)))),1,0))</f>
        <v/>
      </c>
      <c r="BE292" s="23">
        <f>IF(AR292="","",IF(OR(TRIM(AL292&amp;"")&lt;&gt;"",AND(Skills!$B$12&lt;&gt;"",ISNUMBER(SEARCH(Skills!$B$12,AU292)))),1,0))</f>
        <v/>
      </c>
      <c r="BF292" s="23">
        <f>IF(AR292="","",IF(OR(TRIM(AM292&amp;"")&lt;&gt;"",AND(Skills!$B$13&lt;&gt;"",ISNUMBER(SEARCH(Skills!$B$13,AU292)))),1,0))</f>
        <v/>
      </c>
      <c r="BG292" s="23">
        <f>IF(AR292="","",IF(OR(TRIM(AN292&amp;"")&lt;&gt;"",AND(Skills!$B$14&lt;&gt;"",ISNUMBER(SEARCH(Skills!$B$14,AU292)))),1,0))</f>
        <v/>
      </c>
      <c r="BH292" s="23">
        <f>IF(AR292="","",IF(OR(TRIM(AO292&amp;"")&lt;&gt;"",AND(Skills!$B$15&lt;&gt;"",ISNUMBER(SEARCH(Skills!$B$15,AU292)))),1,0))</f>
        <v/>
      </c>
      <c r="BI292" s="23">
        <f>IF(AR292="","",IF(OR(TRIM(AP292&amp;"")&lt;&gt;"",AND(Skills!$B$16&lt;&gt;"",ISNUMBER(SEARCH(Skills!$B$16,AU292)))),1,0))</f>
        <v/>
      </c>
      <c r="BJ292" s="23">
        <f>IF(AR292="","",SUMPRODUCT($AX292:$BI292,Skills!$B$20:$M$20))</f>
        <v/>
      </c>
      <c r="BK292" s="23">
        <f>IF(AR292="","",BJ292*100000+(100000-ROW()))</f>
        <v/>
      </c>
      <c r="BL292" s="31">
        <f>IF(AR292="","",IF((IF(AND(AX292=1,Skills!$B$20=1),Skills!$B$5&amp;", ","")&amp;IF(AND(AY292=1,Skills!$C$20=1),Skills!$B$6&amp;", ","")&amp;IF(AND(AZ292=1,Skills!$D$20=1),Skills!$B$7&amp;", ","")&amp;IF(AND(BA292=1,Skills!$E$20=1),Skills!$B$8&amp;", ","")&amp;IF(AND(BB292=1,Skills!$F$20=1),Skills!$B$9&amp;", ","")&amp;IF(AND(BC292=1,Skills!$G$20=1),Skills!$B$10&amp;", ","")&amp;IF(AND(BD292=1,Skills!$H$20=1),Skills!$B$11&amp;", ","")&amp;IF(AND(BE292=1,Skills!$I$20=1),Skills!$B$12&amp;", ","")&amp;IF(AND(BF292=1,Skills!$J$20=1),Skills!$B$13&amp;", ","")&amp;IF(AND(BG292=1,Skills!$K$20=1),Skills!$B$14&amp;", ","")&amp;IF(AND(BH292=1,Skills!$L$20=1),Skills!$B$15&amp;", ","")&amp;IF(AND(BI292=1,Skills!$M$20=1),Skills!$B$16&amp;", ",""))="","",LEFT(IF(AND(AX292=1,Skills!$B$20=1),Skills!$B$5&amp;", ","")&amp;IF(AND(AY292=1,Skills!$C$20=1),Skills!$B$6&amp;", ","")&amp;IF(AND(AZ292=1,Skills!$D$20=1),Skills!$B$7&amp;", ","")&amp;IF(AND(BA292=1,Skills!$E$20=1),Skills!$B$8&amp;", ","")&amp;IF(AND(BB292=1,Skills!$F$20=1),Skills!$B$9&amp;", ","")&amp;IF(AND(BC292=1,Skills!$G$20=1),Skills!$B$10&amp;", ","")&amp;IF(AND(BD292=1,Skills!$H$20=1),Skills!$B$11&amp;", ","")&amp;IF(AND(BE292=1,Skills!$I$20=1),Skills!$B$12&amp;", ","")&amp;IF(AND(BF292=1,Skills!$J$20=1),Skills!$B$13&amp;", ","")&amp;IF(AND(BG292=1,Skills!$K$20=1),Skills!$B$14&amp;", ","")&amp;IF(AND(BH292=1,Skills!$L$20=1),Skills!$B$15&amp;", ","")&amp;IF(AND(BI292=1,Skills!$M$20=1),Skills!$B$16&amp;", ",""),LEN(IF(AND(AX292=1,Skills!$B$20=1),Skills!$B$5&amp;", ","")&amp;IF(AND(AY292=1,Skills!$C$20=1),Skills!$B$6&amp;", ","")&amp;IF(AND(AZ292=1,Skills!$D$20=1),Skills!$B$7&amp;", ","")&amp;IF(AND(BA292=1,Skills!$E$20=1),Skills!$B$8&amp;", ","")&amp;IF(AND(BB292=1,Skills!$F$20=1),Skills!$B$9&amp;", ","")&amp;IF(AND(BC292=1,Skills!$G$20=1),Skills!$B$10&amp;", ","")&amp;IF(AND(BD292=1,Skills!$H$20=1),Skills!$B$11&amp;", ","")&amp;IF(AND(BE292=1,Skills!$I$20=1),Skills!$B$12&amp;", ","")&amp;IF(AND(BF292=1,Skills!$J$20=1),Skills!$B$13&amp;", ","")&amp;IF(AND(BG292=1,Skills!$K$20=1),Skills!$B$14&amp;", ","")&amp;IF(AND(BH292=1,Skills!$L$20=1),Skills!$B$15&amp;", ","")&amp;IF(AND(BI292=1,Skills!$M$20=1),Skills!$B$16&amp;", ",""))-2)))</f>
        <v/>
      </c>
    </row>
    <row r="293">
      <c r="AD293" s="20" t="n"/>
      <c r="AE293" s="20" t="n"/>
      <c r="AF293" s="20" t="n"/>
      <c r="AG293" s="20" t="n"/>
      <c r="AH293" s="20" t="n"/>
      <c r="AI293" s="20" t="n"/>
      <c r="AJ293" s="20" t="n"/>
      <c r="AK293" s="20" t="n"/>
      <c r="AL293" s="20" t="n"/>
      <c r="AM293" s="20" t="n"/>
      <c r="AN293" s="20" t="n"/>
      <c r="AO293" s="20" t="n"/>
      <c r="AP293" s="20" t="n"/>
      <c r="AR293" s="31">
        <f>IF(IFERROR(TRIM(INDEX($A293:$AB293,MATCH(Lists!$B$5,$A$1:$AB$1,0))&amp;""),"")&lt;&gt;"",IFERROR(TRIM(INDEX($A293:$AB293,MATCH(Lists!$B$5,$A$1:$AB$1,0))&amp;""),""),IFERROR(TRIM(INDEX($A293:$AB293,MATCH(Lists!$B$3,$A$1:$AB$1,0))&amp;""),""))</f>
        <v/>
      </c>
      <c r="AS293" s="31">
        <f>IF(AR293="","",IF(IFERROR(TRIM(INDEX($A293:$AB293,MATCH(Lists!$B$5,$A$1:$AB$1,0))&amp;""),"")&lt;&gt;"","Nominated","Applied"))</f>
        <v/>
      </c>
      <c r="AT293" s="31">
        <f>IF(AR293="","",IF(IFERROR(TRIM(INDEX($A293:$AB293,MATCH(Lists!$B$5,$A$1:$AB$1,0))&amp;""),"")&lt;&gt;"",IFERROR(TRIM(INDEX($A293:$AB293,MATCH(Lists!$B$6,$A$1:$AB$1,0))&amp;""),""),IFERROR(TRIM(INDEX($A293:$AB293,MATCH(Lists!$B$4,$A$1:$AB$1,0))&amp;""),"")))</f>
        <v/>
      </c>
      <c r="AU293" s="31">
        <f>IF(AR293="","",IFERROR(TRIM(INDEX($A293:$AB293,MATCH(Lists!$B$7,$A$1:$AB$1,0))&amp;""),""))</f>
        <v/>
      </c>
      <c r="AV293" s="31">
        <f>IF(AR293="","",IFERROR(TRIM(INDEX($A293:$AB293,MATCH(Lists!$B$9,$A$1:$AB$1,0))&amp;""),""))</f>
        <v/>
      </c>
      <c r="AW293" s="31">
        <f>IF(AR293="","",IFERROR(TRIM(INDEX($A293:$AB293,MATCH(Lists!$B$8,$A$1:$AB$1,0))&amp;""),""))</f>
        <v/>
      </c>
      <c r="AX293" s="23">
        <f>IF(AR293="","",IF(OR(TRIM(AE293&amp;"")&lt;&gt;"",AND(Skills!$B$5&lt;&gt;"",ISNUMBER(SEARCH(Skills!$B$5,AU293)))),1,0))</f>
        <v/>
      </c>
      <c r="AY293" s="23">
        <f>IF(AR293="","",IF(OR(TRIM(AF293&amp;"")&lt;&gt;"",AND(Skills!$B$6&lt;&gt;"",ISNUMBER(SEARCH(Skills!$B$6,AU293)))),1,0))</f>
        <v/>
      </c>
      <c r="AZ293" s="23">
        <f>IF(AR293="","",IF(OR(TRIM(AG293&amp;"")&lt;&gt;"",AND(Skills!$B$7&lt;&gt;"",ISNUMBER(SEARCH(Skills!$B$7,AU293)))),1,0))</f>
        <v/>
      </c>
      <c r="BA293" s="23">
        <f>IF(AR293="","",IF(OR(TRIM(AH293&amp;"")&lt;&gt;"",AND(Skills!$B$8&lt;&gt;"",ISNUMBER(SEARCH(Skills!$B$8,AU293)))),1,0))</f>
        <v/>
      </c>
      <c r="BB293" s="23">
        <f>IF(AR293="","",IF(OR(TRIM(AI293&amp;"")&lt;&gt;"",AND(Skills!$B$9&lt;&gt;"",ISNUMBER(SEARCH(Skills!$B$9,AU293)))),1,0))</f>
        <v/>
      </c>
      <c r="BC293" s="23">
        <f>IF(AR293="","",IF(OR(TRIM(AJ293&amp;"")&lt;&gt;"",AND(Skills!$B$10&lt;&gt;"",ISNUMBER(SEARCH(Skills!$B$10,AU293)))),1,0))</f>
        <v/>
      </c>
      <c r="BD293" s="23">
        <f>IF(AR293="","",IF(OR(TRIM(AK293&amp;"")&lt;&gt;"",AND(Skills!$B$11&lt;&gt;"",ISNUMBER(SEARCH(Skills!$B$11,AU293)))),1,0))</f>
        <v/>
      </c>
      <c r="BE293" s="23">
        <f>IF(AR293="","",IF(OR(TRIM(AL293&amp;"")&lt;&gt;"",AND(Skills!$B$12&lt;&gt;"",ISNUMBER(SEARCH(Skills!$B$12,AU293)))),1,0))</f>
        <v/>
      </c>
      <c r="BF293" s="23">
        <f>IF(AR293="","",IF(OR(TRIM(AM293&amp;"")&lt;&gt;"",AND(Skills!$B$13&lt;&gt;"",ISNUMBER(SEARCH(Skills!$B$13,AU293)))),1,0))</f>
        <v/>
      </c>
      <c r="BG293" s="23">
        <f>IF(AR293="","",IF(OR(TRIM(AN293&amp;"")&lt;&gt;"",AND(Skills!$B$14&lt;&gt;"",ISNUMBER(SEARCH(Skills!$B$14,AU293)))),1,0))</f>
        <v/>
      </c>
      <c r="BH293" s="23">
        <f>IF(AR293="","",IF(OR(TRIM(AO293&amp;"")&lt;&gt;"",AND(Skills!$B$15&lt;&gt;"",ISNUMBER(SEARCH(Skills!$B$15,AU293)))),1,0))</f>
        <v/>
      </c>
      <c r="BI293" s="23">
        <f>IF(AR293="","",IF(OR(TRIM(AP293&amp;"")&lt;&gt;"",AND(Skills!$B$16&lt;&gt;"",ISNUMBER(SEARCH(Skills!$B$16,AU293)))),1,0))</f>
        <v/>
      </c>
      <c r="BJ293" s="23">
        <f>IF(AR293="","",SUMPRODUCT($AX293:$BI293,Skills!$B$20:$M$20))</f>
        <v/>
      </c>
      <c r="BK293" s="23">
        <f>IF(AR293="","",BJ293*100000+(100000-ROW()))</f>
        <v/>
      </c>
      <c r="BL293" s="31">
        <f>IF(AR293="","",IF((IF(AND(AX293=1,Skills!$B$20=1),Skills!$B$5&amp;", ","")&amp;IF(AND(AY293=1,Skills!$C$20=1),Skills!$B$6&amp;", ","")&amp;IF(AND(AZ293=1,Skills!$D$20=1),Skills!$B$7&amp;", ","")&amp;IF(AND(BA293=1,Skills!$E$20=1),Skills!$B$8&amp;", ","")&amp;IF(AND(BB293=1,Skills!$F$20=1),Skills!$B$9&amp;", ","")&amp;IF(AND(BC293=1,Skills!$G$20=1),Skills!$B$10&amp;", ","")&amp;IF(AND(BD293=1,Skills!$H$20=1),Skills!$B$11&amp;", ","")&amp;IF(AND(BE293=1,Skills!$I$20=1),Skills!$B$12&amp;", ","")&amp;IF(AND(BF293=1,Skills!$J$20=1),Skills!$B$13&amp;", ","")&amp;IF(AND(BG293=1,Skills!$K$20=1),Skills!$B$14&amp;", ","")&amp;IF(AND(BH293=1,Skills!$L$20=1),Skills!$B$15&amp;", ","")&amp;IF(AND(BI293=1,Skills!$M$20=1),Skills!$B$16&amp;", ",""))="","",LEFT(IF(AND(AX293=1,Skills!$B$20=1),Skills!$B$5&amp;", ","")&amp;IF(AND(AY293=1,Skills!$C$20=1),Skills!$B$6&amp;", ","")&amp;IF(AND(AZ293=1,Skills!$D$20=1),Skills!$B$7&amp;", ","")&amp;IF(AND(BA293=1,Skills!$E$20=1),Skills!$B$8&amp;", ","")&amp;IF(AND(BB293=1,Skills!$F$20=1),Skills!$B$9&amp;", ","")&amp;IF(AND(BC293=1,Skills!$G$20=1),Skills!$B$10&amp;", ","")&amp;IF(AND(BD293=1,Skills!$H$20=1),Skills!$B$11&amp;", ","")&amp;IF(AND(BE293=1,Skills!$I$20=1),Skills!$B$12&amp;", ","")&amp;IF(AND(BF293=1,Skills!$J$20=1),Skills!$B$13&amp;", ","")&amp;IF(AND(BG293=1,Skills!$K$20=1),Skills!$B$14&amp;", ","")&amp;IF(AND(BH293=1,Skills!$L$20=1),Skills!$B$15&amp;", ","")&amp;IF(AND(BI293=1,Skills!$M$20=1),Skills!$B$16&amp;", ",""),LEN(IF(AND(AX293=1,Skills!$B$20=1),Skills!$B$5&amp;", ","")&amp;IF(AND(AY293=1,Skills!$C$20=1),Skills!$B$6&amp;", ","")&amp;IF(AND(AZ293=1,Skills!$D$20=1),Skills!$B$7&amp;", ","")&amp;IF(AND(BA293=1,Skills!$E$20=1),Skills!$B$8&amp;", ","")&amp;IF(AND(BB293=1,Skills!$F$20=1),Skills!$B$9&amp;", ","")&amp;IF(AND(BC293=1,Skills!$G$20=1),Skills!$B$10&amp;", ","")&amp;IF(AND(BD293=1,Skills!$H$20=1),Skills!$B$11&amp;", ","")&amp;IF(AND(BE293=1,Skills!$I$20=1),Skills!$B$12&amp;", ","")&amp;IF(AND(BF293=1,Skills!$J$20=1),Skills!$B$13&amp;", ","")&amp;IF(AND(BG293=1,Skills!$K$20=1),Skills!$B$14&amp;", ","")&amp;IF(AND(BH293=1,Skills!$L$20=1),Skills!$B$15&amp;", ","")&amp;IF(AND(BI293=1,Skills!$M$20=1),Skills!$B$16&amp;", ",""))-2)))</f>
        <v/>
      </c>
    </row>
    <row r="294">
      <c r="AD294" s="20" t="n"/>
      <c r="AE294" s="20" t="n"/>
      <c r="AF294" s="20" t="n"/>
      <c r="AG294" s="20" t="n"/>
      <c r="AH294" s="20" t="n"/>
      <c r="AI294" s="20" t="n"/>
      <c r="AJ294" s="20" t="n"/>
      <c r="AK294" s="20" t="n"/>
      <c r="AL294" s="20" t="n"/>
      <c r="AM294" s="20" t="n"/>
      <c r="AN294" s="20" t="n"/>
      <c r="AO294" s="20" t="n"/>
      <c r="AP294" s="20" t="n"/>
      <c r="AR294" s="31">
        <f>IF(IFERROR(TRIM(INDEX($A294:$AB294,MATCH(Lists!$B$5,$A$1:$AB$1,0))&amp;""),"")&lt;&gt;"",IFERROR(TRIM(INDEX($A294:$AB294,MATCH(Lists!$B$5,$A$1:$AB$1,0))&amp;""),""),IFERROR(TRIM(INDEX($A294:$AB294,MATCH(Lists!$B$3,$A$1:$AB$1,0))&amp;""),""))</f>
        <v/>
      </c>
      <c r="AS294" s="31">
        <f>IF(AR294="","",IF(IFERROR(TRIM(INDEX($A294:$AB294,MATCH(Lists!$B$5,$A$1:$AB$1,0))&amp;""),"")&lt;&gt;"","Nominated","Applied"))</f>
        <v/>
      </c>
      <c r="AT294" s="31">
        <f>IF(AR294="","",IF(IFERROR(TRIM(INDEX($A294:$AB294,MATCH(Lists!$B$5,$A$1:$AB$1,0))&amp;""),"")&lt;&gt;"",IFERROR(TRIM(INDEX($A294:$AB294,MATCH(Lists!$B$6,$A$1:$AB$1,0))&amp;""),""),IFERROR(TRIM(INDEX($A294:$AB294,MATCH(Lists!$B$4,$A$1:$AB$1,0))&amp;""),"")))</f>
        <v/>
      </c>
      <c r="AU294" s="31">
        <f>IF(AR294="","",IFERROR(TRIM(INDEX($A294:$AB294,MATCH(Lists!$B$7,$A$1:$AB$1,0))&amp;""),""))</f>
        <v/>
      </c>
      <c r="AV294" s="31">
        <f>IF(AR294="","",IFERROR(TRIM(INDEX($A294:$AB294,MATCH(Lists!$B$9,$A$1:$AB$1,0))&amp;""),""))</f>
        <v/>
      </c>
      <c r="AW294" s="31">
        <f>IF(AR294="","",IFERROR(TRIM(INDEX($A294:$AB294,MATCH(Lists!$B$8,$A$1:$AB$1,0))&amp;""),""))</f>
        <v/>
      </c>
      <c r="AX294" s="23">
        <f>IF(AR294="","",IF(OR(TRIM(AE294&amp;"")&lt;&gt;"",AND(Skills!$B$5&lt;&gt;"",ISNUMBER(SEARCH(Skills!$B$5,AU294)))),1,0))</f>
        <v/>
      </c>
      <c r="AY294" s="23">
        <f>IF(AR294="","",IF(OR(TRIM(AF294&amp;"")&lt;&gt;"",AND(Skills!$B$6&lt;&gt;"",ISNUMBER(SEARCH(Skills!$B$6,AU294)))),1,0))</f>
        <v/>
      </c>
      <c r="AZ294" s="23">
        <f>IF(AR294="","",IF(OR(TRIM(AG294&amp;"")&lt;&gt;"",AND(Skills!$B$7&lt;&gt;"",ISNUMBER(SEARCH(Skills!$B$7,AU294)))),1,0))</f>
        <v/>
      </c>
      <c r="BA294" s="23">
        <f>IF(AR294="","",IF(OR(TRIM(AH294&amp;"")&lt;&gt;"",AND(Skills!$B$8&lt;&gt;"",ISNUMBER(SEARCH(Skills!$B$8,AU294)))),1,0))</f>
        <v/>
      </c>
      <c r="BB294" s="23">
        <f>IF(AR294="","",IF(OR(TRIM(AI294&amp;"")&lt;&gt;"",AND(Skills!$B$9&lt;&gt;"",ISNUMBER(SEARCH(Skills!$B$9,AU294)))),1,0))</f>
        <v/>
      </c>
      <c r="BC294" s="23">
        <f>IF(AR294="","",IF(OR(TRIM(AJ294&amp;"")&lt;&gt;"",AND(Skills!$B$10&lt;&gt;"",ISNUMBER(SEARCH(Skills!$B$10,AU294)))),1,0))</f>
        <v/>
      </c>
      <c r="BD294" s="23">
        <f>IF(AR294="","",IF(OR(TRIM(AK294&amp;"")&lt;&gt;"",AND(Skills!$B$11&lt;&gt;"",ISNUMBER(SEARCH(Skills!$B$11,AU294)))),1,0))</f>
        <v/>
      </c>
      <c r="BE294" s="23">
        <f>IF(AR294="","",IF(OR(TRIM(AL294&amp;"")&lt;&gt;"",AND(Skills!$B$12&lt;&gt;"",ISNUMBER(SEARCH(Skills!$B$12,AU294)))),1,0))</f>
        <v/>
      </c>
      <c r="BF294" s="23">
        <f>IF(AR294="","",IF(OR(TRIM(AM294&amp;"")&lt;&gt;"",AND(Skills!$B$13&lt;&gt;"",ISNUMBER(SEARCH(Skills!$B$13,AU294)))),1,0))</f>
        <v/>
      </c>
      <c r="BG294" s="23">
        <f>IF(AR294="","",IF(OR(TRIM(AN294&amp;"")&lt;&gt;"",AND(Skills!$B$14&lt;&gt;"",ISNUMBER(SEARCH(Skills!$B$14,AU294)))),1,0))</f>
        <v/>
      </c>
      <c r="BH294" s="23">
        <f>IF(AR294="","",IF(OR(TRIM(AO294&amp;"")&lt;&gt;"",AND(Skills!$B$15&lt;&gt;"",ISNUMBER(SEARCH(Skills!$B$15,AU294)))),1,0))</f>
        <v/>
      </c>
      <c r="BI294" s="23">
        <f>IF(AR294="","",IF(OR(TRIM(AP294&amp;"")&lt;&gt;"",AND(Skills!$B$16&lt;&gt;"",ISNUMBER(SEARCH(Skills!$B$16,AU294)))),1,0))</f>
        <v/>
      </c>
      <c r="BJ294" s="23">
        <f>IF(AR294="","",SUMPRODUCT($AX294:$BI294,Skills!$B$20:$M$20))</f>
        <v/>
      </c>
      <c r="BK294" s="23">
        <f>IF(AR294="","",BJ294*100000+(100000-ROW()))</f>
        <v/>
      </c>
      <c r="BL294" s="31">
        <f>IF(AR294="","",IF((IF(AND(AX294=1,Skills!$B$20=1),Skills!$B$5&amp;", ","")&amp;IF(AND(AY294=1,Skills!$C$20=1),Skills!$B$6&amp;", ","")&amp;IF(AND(AZ294=1,Skills!$D$20=1),Skills!$B$7&amp;", ","")&amp;IF(AND(BA294=1,Skills!$E$20=1),Skills!$B$8&amp;", ","")&amp;IF(AND(BB294=1,Skills!$F$20=1),Skills!$B$9&amp;", ","")&amp;IF(AND(BC294=1,Skills!$G$20=1),Skills!$B$10&amp;", ","")&amp;IF(AND(BD294=1,Skills!$H$20=1),Skills!$B$11&amp;", ","")&amp;IF(AND(BE294=1,Skills!$I$20=1),Skills!$B$12&amp;", ","")&amp;IF(AND(BF294=1,Skills!$J$20=1),Skills!$B$13&amp;", ","")&amp;IF(AND(BG294=1,Skills!$K$20=1),Skills!$B$14&amp;", ","")&amp;IF(AND(BH294=1,Skills!$L$20=1),Skills!$B$15&amp;", ","")&amp;IF(AND(BI294=1,Skills!$M$20=1),Skills!$B$16&amp;", ",""))="","",LEFT(IF(AND(AX294=1,Skills!$B$20=1),Skills!$B$5&amp;", ","")&amp;IF(AND(AY294=1,Skills!$C$20=1),Skills!$B$6&amp;", ","")&amp;IF(AND(AZ294=1,Skills!$D$20=1),Skills!$B$7&amp;", ","")&amp;IF(AND(BA294=1,Skills!$E$20=1),Skills!$B$8&amp;", ","")&amp;IF(AND(BB294=1,Skills!$F$20=1),Skills!$B$9&amp;", ","")&amp;IF(AND(BC294=1,Skills!$G$20=1),Skills!$B$10&amp;", ","")&amp;IF(AND(BD294=1,Skills!$H$20=1),Skills!$B$11&amp;", ","")&amp;IF(AND(BE294=1,Skills!$I$20=1),Skills!$B$12&amp;", ","")&amp;IF(AND(BF294=1,Skills!$J$20=1),Skills!$B$13&amp;", ","")&amp;IF(AND(BG294=1,Skills!$K$20=1),Skills!$B$14&amp;", ","")&amp;IF(AND(BH294=1,Skills!$L$20=1),Skills!$B$15&amp;", ","")&amp;IF(AND(BI294=1,Skills!$M$20=1),Skills!$B$16&amp;", ",""),LEN(IF(AND(AX294=1,Skills!$B$20=1),Skills!$B$5&amp;", ","")&amp;IF(AND(AY294=1,Skills!$C$20=1),Skills!$B$6&amp;", ","")&amp;IF(AND(AZ294=1,Skills!$D$20=1),Skills!$B$7&amp;", ","")&amp;IF(AND(BA294=1,Skills!$E$20=1),Skills!$B$8&amp;", ","")&amp;IF(AND(BB294=1,Skills!$F$20=1),Skills!$B$9&amp;", ","")&amp;IF(AND(BC294=1,Skills!$G$20=1),Skills!$B$10&amp;", ","")&amp;IF(AND(BD294=1,Skills!$H$20=1),Skills!$B$11&amp;", ","")&amp;IF(AND(BE294=1,Skills!$I$20=1),Skills!$B$12&amp;", ","")&amp;IF(AND(BF294=1,Skills!$J$20=1),Skills!$B$13&amp;", ","")&amp;IF(AND(BG294=1,Skills!$K$20=1),Skills!$B$14&amp;", ","")&amp;IF(AND(BH294=1,Skills!$L$20=1),Skills!$B$15&amp;", ","")&amp;IF(AND(BI294=1,Skills!$M$20=1),Skills!$B$16&amp;", ",""))-2)))</f>
        <v/>
      </c>
    </row>
    <row r="295">
      <c r="AD295" s="20" t="n"/>
      <c r="AE295" s="20" t="n"/>
      <c r="AF295" s="20" t="n"/>
      <c r="AG295" s="20" t="n"/>
      <c r="AH295" s="20" t="n"/>
      <c r="AI295" s="20" t="n"/>
      <c r="AJ295" s="20" t="n"/>
      <c r="AK295" s="20" t="n"/>
      <c r="AL295" s="20" t="n"/>
      <c r="AM295" s="20" t="n"/>
      <c r="AN295" s="20" t="n"/>
      <c r="AO295" s="20" t="n"/>
      <c r="AP295" s="20" t="n"/>
      <c r="AR295" s="31">
        <f>IF(IFERROR(TRIM(INDEX($A295:$AB295,MATCH(Lists!$B$5,$A$1:$AB$1,0))&amp;""),"")&lt;&gt;"",IFERROR(TRIM(INDEX($A295:$AB295,MATCH(Lists!$B$5,$A$1:$AB$1,0))&amp;""),""),IFERROR(TRIM(INDEX($A295:$AB295,MATCH(Lists!$B$3,$A$1:$AB$1,0))&amp;""),""))</f>
        <v/>
      </c>
      <c r="AS295" s="31">
        <f>IF(AR295="","",IF(IFERROR(TRIM(INDEX($A295:$AB295,MATCH(Lists!$B$5,$A$1:$AB$1,0))&amp;""),"")&lt;&gt;"","Nominated","Applied"))</f>
        <v/>
      </c>
      <c r="AT295" s="31">
        <f>IF(AR295="","",IF(IFERROR(TRIM(INDEX($A295:$AB295,MATCH(Lists!$B$5,$A$1:$AB$1,0))&amp;""),"")&lt;&gt;"",IFERROR(TRIM(INDEX($A295:$AB295,MATCH(Lists!$B$6,$A$1:$AB$1,0))&amp;""),""),IFERROR(TRIM(INDEX($A295:$AB295,MATCH(Lists!$B$4,$A$1:$AB$1,0))&amp;""),"")))</f>
        <v/>
      </c>
      <c r="AU295" s="31">
        <f>IF(AR295="","",IFERROR(TRIM(INDEX($A295:$AB295,MATCH(Lists!$B$7,$A$1:$AB$1,0))&amp;""),""))</f>
        <v/>
      </c>
      <c r="AV295" s="31">
        <f>IF(AR295="","",IFERROR(TRIM(INDEX($A295:$AB295,MATCH(Lists!$B$9,$A$1:$AB$1,0))&amp;""),""))</f>
        <v/>
      </c>
      <c r="AW295" s="31">
        <f>IF(AR295="","",IFERROR(TRIM(INDEX($A295:$AB295,MATCH(Lists!$B$8,$A$1:$AB$1,0))&amp;""),""))</f>
        <v/>
      </c>
      <c r="AX295" s="23">
        <f>IF(AR295="","",IF(OR(TRIM(AE295&amp;"")&lt;&gt;"",AND(Skills!$B$5&lt;&gt;"",ISNUMBER(SEARCH(Skills!$B$5,AU295)))),1,0))</f>
        <v/>
      </c>
      <c r="AY295" s="23">
        <f>IF(AR295="","",IF(OR(TRIM(AF295&amp;"")&lt;&gt;"",AND(Skills!$B$6&lt;&gt;"",ISNUMBER(SEARCH(Skills!$B$6,AU295)))),1,0))</f>
        <v/>
      </c>
      <c r="AZ295" s="23">
        <f>IF(AR295="","",IF(OR(TRIM(AG295&amp;"")&lt;&gt;"",AND(Skills!$B$7&lt;&gt;"",ISNUMBER(SEARCH(Skills!$B$7,AU295)))),1,0))</f>
        <v/>
      </c>
      <c r="BA295" s="23">
        <f>IF(AR295="","",IF(OR(TRIM(AH295&amp;"")&lt;&gt;"",AND(Skills!$B$8&lt;&gt;"",ISNUMBER(SEARCH(Skills!$B$8,AU295)))),1,0))</f>
        <v/>
      </c>
      <c r="BB295" s="23">
        <f>IF(AR295="","",IF(OR(TRIM(AI295&amp;"")&lt;&gt;"",AND(Skills!$B$9&lt;&gt;"",ISNUMBER(SEARCH(Skills!$B$9,AU295)))),1,0))</f>
        <v/>
      </c>
      <c r="BC295" s="23">
        <f>IF(AR295="","",IF(OR(TRIM(AJ295&amp;"")&lt;&gt;"",AND(Skills!$B$10&lt;&gt;"",ISNUMBER(SEARCH(Skills!$B$10,AU295)))),1,0))</f>
        <v/>
      </c>
      <c r="BD295" s="23">
        <f>IF(AR295="","",IF(OR(TRIM(AK295&amp;"")&lt;&gt;"",AND(Skills!$B$11&lt;&gt;"",ISNUMBER(SEARCH(Skills!$B$11,AU295)))),1,0))</f>
        <v/>
      </c>
      <c r="BE295" s="23">
        <f>IF(AR295="","",IF(OR(TRIM(AL295&amp;"")&lt;&gt;"",AND(Skills!$B$12&lt;&gt;"",ISNUMBER(SEARCH(Skills!$B$12,AU295)))),1,0))</f>
        <v/>
      </c>
      <c r="BF295" s="23">
        <f>IF(AR295="","",IF(OR(TRIM(AM295&amp;"")&lt;&gt;"",AND(Skills!$B$13&lt;&gt;"",ISNUMBER(SEARCH(Skills!$B$13,AU295)))),1,0))</f>
        <v/>
      </c>
      <c r="BG295" s="23">
        <f>IF(AR295="","",IF(OR(TRIM(AN295&amp;"")&lt;&gt;"",AND(Skills!$B$14&lt;&gt;"",ISNUMBER(SEARCH(Skills!$B$14,AU295)))),1,0))</f>
        <v/>
      </c>
      <c r="BH295" s="23">
        <f>IF(AR295="","",IF(OR(TRIM(AO295&amp;"")&lt;&gt;"",AND(Skills!$B$15&lt;&gt;"",ISNUMBER(SEARCH(Skills!$B$15,AU295)))),1,0))</f>
        <v/>
      </c>
      <c r="BI295" s="23">
        <f>IF(AR295="","",IF(OR(TRIM(AP295&amp;"")&lt;&gt;"",AND(Skills!$B$16&lt;&gt;"",ISNUMBER(SEARCH(Skills!$B$16,AU295)))),1,0))</f>
        <v/>
      </c>
      <c r="BJ295" s="23">
        <f>IF(AR295="","",SUMPRODUCT($AX295:$BI295,Skills!$B$20:$M$20))</f>
        <v/>
      </c>
      <c r="BK295" s="23">
        <f>IF(AR295="","",BJ295*100000+(100000-ROW()))</f>
        <v/>
      </c>
      <c r="BL295" s="31">
        <f>IF(AR295="","",IF((IF(AND(AX295=1,Skills!$B$20=1),Skills!$B$5&amp;", ","")&amp;IF(AND(AY295=1,Skills!$C$20=1),Skills!$B$6&amp;", ","")&amp;IF(AND(AZ295=1,Skills!$D$20=1),Skills!$B$7&amp;", ","")&amp;IF(AND(BA295=1,Skills!$E$20=1),Skills!$B$8&amp;", ","")&amp;IF(AND(BB295=1,Skills!$F$20=1),Skills!$B$9&amp;", ","")&amp;IF(AND(BC295=1,Skills!$G$20=1),Skills!$B$10&amp;", ","")&amp;IF(AND(BD295=1,Skills!$H$20=1),Skills!$B$11&amp;", ","")&amp;IF(AND(BE295=1,Skills!$I$20=1),Skills!$B$12&amp;", ","")&amp;IF(AND(BF295=1,Skills!$J$20=1),Skills!$B$13&amp;", ","")&amp;IF(AND(BG295=1,Skills!$K$20=1),Skills!$B$14&amp;", ","")&amp;IF(AND(BH295=1,Skills!$L$20=1),Skills!$B$15&amp;", ","")&amp;IF(AND(BI295=1,Skills!$M$20=1),Skills!$B$16&amp;", ",""))="","",LEFT(IF(AND(AX295=1,Skills!$B$20=1),Skills!$B$5&amp;", ","")&amp;IF(AND(AY295=1,Skills!$C$20=1),Skills!$B$6&amp;", ","")&amp;IF(AND(AZ295=1,Skills!$D$20=1),Skills!$B$7&amp;", ","")&amp;IF(AND(BA295=1,Skills!$E$20=1),Skills!$B$8&amp;", ","")&amp;IF(AND(BB295=1,Skills!$F$20=1),Skills!$B$9&amp;", ","")&amp;IF(AND(BC295=1,Skills!$G$20=1),Skills!$B$10&amp;", ","")&amp;IF(AND(BD295=1,Skills!$H$20=1),Skills!$B$11&amp;", ","")&amp;IF(AND(BE295=1,Skills!$I$20=1),Skills!$B$12&amp;", ","")&amp;IF(AND(BF295=1,Skills!$J$20=1),Skills!$B$13&amp;", ","")&amp;IF(AND(BG295=1,Skills!$K$20=1),Skills!$B$14&amp;", ","")&amp;IF(AND(BH295=1,Skills!$L$20=1),Skills!$B$15&amp;", ","")&amp;IF(AND(BI295=1,Skills!$M$20=1),Skills!$B$16&amp;", ",""),LEN(IF(AND(AX295=1,Skills!$B$20=1),Skills!$B$5&amp;", ","")&amp;IF(AND(AY295=1,Skills!$C$20=1),Skills!$B$6&amp;", ","")&amp;IF(AND(AZ295=1,Skills!$D$20=1),Skills!$B$7&amp;", ","")&amp;IF(AND(BA295=1,Skills!$E$20=1),Skills!$B$8&amp;", ","")&amp;IF(AND(BB295=1,Skills!$F$20=1),Skills!$B$9&amp;", ","")&amp;IF(AND(BC295=1,Skills!$G$20=1),Skills!$B$10&amp;", ","")&amp;IF(AND(BD295=1,Skills!$H$20=1),Skills!$B$11&amp;", ","")&amp;IF(AND(BE295=1,Skills!$I$20=1),Skills!$B$12&amp;", ","")&amp;IF(AND(BF295=1,Skills!$J$20=1),Skills!$B$13&amp;", ","")&amp;IF(AND(BG295=1,Skills!$K$20=1),Skills!$B$14&amp;", ","")&amp;IF(AND(BH295=1,Skills!$L$20=1),Skills!$B$15&amp;", ","")&amp;IF(AND(BI295=1,Skills!$M$20=1),Skills!$B$16&amp;", ",""))-2)))</f>
        <v/>
      </c>
    </row>
    <row r="296">
      <c r="AD296" s="20" t="n"/>
      <c r="AE296" s="20" t="n"/>
      <c r="AF296" s="20" t="n"/>
      <c r="AG296" s="20" t="n"/>
      <c r="AH296" s="20" t="n"/>
      <c r="AI296" s="20" t="n"/>
      <c r="AJ296" s="20" t="n"/>
      <c r="AK296" s="20" t="n"/>
      <c r="AL296" s="20" t="n"/>
      <c r="AM296" s="20" t="n"/>
      <c r="AN296" s="20" t="n"/>
      <c r="AO296" s="20" t="n"/>
      <c r="AP296" s="20" t="n"/>
      <c r="AR296" s="31">
        <f>IF(IFERROR(TRIM(INDEX($A296:$AB296,MATCH(Lists!$B$5,$A$1:$AB$1,0))&amp;""),"")&lt;&gt;"",IFERROR(TRIM(INDEX($A296:$AB296,MATCH(Lists!$B$5,$A$1:$AB$1,0))&amp;""),""),IFERROR(TRIM(INDEX($A296:$AB296,MATCH(Lists!$B$3,$A$1:$AB$1,0))&amp;""),""))</f>
        <v/>
      </c>
      <c r="AS296" s="31">
        <f>IF(AR296="","",IF(IFERROR(TRIM(INDEX($A296:$AB296,MATCH(Lists!$B$5,$A$1:$AB$1,0))&amp;""),"")&lt;&gt;"","Nominated","Applied"))</f>
        <v/>
      </c>
      <c r="AT296" s="31">
        <f>IF(AR296="","",IF(IFERROR(TRIM(INDEX($A296:$AB296,MATCH(Lists!$B$5,$A$1:$AB$1,0))&amp;""),"")&lt;&gt;"",IFERROR(TRIM(INDEX($A296:$AB296,MATCH(Lists!$B$6,$A$1:$AB$1,0))&amp;""),""),IFERROR(TRIM(INDEX($A296:$AB296,MATCH(Lists!$B$4,$A$1:$AB$1,0))&amp;""),"")))</f>
        <v/>
      </c>
      <c r="AU296" s="31">
        <f>IF(AR296="","",IFERROR(TRIM(INDEX($A296:$AB296,MATCH(Lists!$B$7,$A$1:$AB$1,0))&amp;""),""))</f>
        <v/>
      </c>
      <c r="AV296" s="31">
        <f>IF(AR296="","",IFERROR(TRIM(INDEX($A296:$AB296,MATCH(Lists!$B$9,$A$1:$AB$1,0))&amp;""),""))</f>
        <v/>
      </c>
      <c r="AW296" s="31">
        <f>IF(AR296="","",IFERROR(TRIM(INDEX($A296:$AB296,MATCH(Lists!$B$8,$A$1:$AB$1,0))&amp;""),""))</f>
        <v/>
      </c>
      <c r="AX296" s="23">
        <f>IF(AR296="","",IF(OR(TRIM(AE296&amp;"")&lt;&gt;"",AND(Skills!$B$5&lt;&gt;"",ISNUMBER(SEARCH(Skills!$B$5,AU296)))),1,0))</f>
        <v/>
      </c>
      <c r="AY296" s="23">
        <f>IF(AR296="","",IF(OR(TRIM(AF296&amp;"")&lt;&gt;"",AND(Skills!$B$6&lt;&gt;"",ISNUMBER(SEARCH(Skills!$B$6,AU296)))),1,0))</f>
        <v/>
      </c>
      <c r="AZ296" s="23">
        <f>IF(AR296="","",IF(OR(TRIM(AG296&amp;"")&lt;&gt;"",AND(Skills!$B$7&lt;&gt;"",ISNUMBER(SEARCH(Skills!$B$7,AU296)))),1,0))</f>
        <v/>
      </c>
      <c r="BA296" s="23">
        <f>IF(AR296="","",IF(OR(TRIM(AH296&amp;"")&lt;&gt;"",AND(Skills!$B$8&lt;&gt;"",ISNUMBER(SEARCH(Skills!$B$8,AU296)))),1,0))</f>
        <v/>
      </c>
      <c r="BB296" s="23">
        <f>IF(AR296="","",IF(OR(TRIM(AI296&amp;"")&lt;&gt;"",AND(Skills!$B$9&lt;&gt;"",ISNUMBER(SEARCH(Skills!$B$9,AU296)))),1,0))</f>
        <v/>
      </c>
      <c r="BC296" s="23">
        <f>IF(AR296="","",IF(OR(TRIM(AJ296&amp;"")&lt;&gt;"",AND(Skills!$B$10&lt;&gt;"",ISNUMBER(SEARCH(Skills!$B$10,AU296)))),1,0))</f>
        <v/>
      </c>
      <c r="BD296" s="23">
        <f>IF(AR296="","",IF(OR(TRIM(AK296&amp;"")&lt;&gt;"",AND(Skills!$B$11&lt;&gt;"",ISNUMBER(SEARCH(Skills!$B$11,AU296)))),1,0))</f>
        <v/>
      </c>
      <c r="BE296" s="23">
        <f>IF(AR296="","",IF(OR(TRIM(AL296&amp;"")&lt;&gt;"",AND(Skills!$B$12&lt;&gt;"",ISNUMBER(SEARCH(Skills!$B$12,AU296)))),1,0))</f>
        <v/>
      </c>
      <c r="BF296" s="23">
        <f>IF(AR296="","",IF(OR(TRIM(AM296&amp;"")&lt;&gt;"",AND(Skills!$B$13&lt;&gt;"",ISNUMBER(SEARCH(Skills!$B$13,AU296)))),1,0))</f>
        <v/>
      </c>
      <c r="BG296" s="23">
        <f>IF(AR296="","",IF(OR(TRIM(AN296&amp;"")&lt;&gt;"",AND(Skills!$B$14&lt;&gt;"",ISNUMBER(SEARCH(Skills!$B$14,AU296)))),1,0))</f>
        <v/>
      </c>
      <c r="BH296" s="23">
        <f>IF(AR296="","",IF(OR(TRIM(AO296&amp;"")&lt;&gt;"",AND(Skills!$B$15&lt;&gt;"",ISNUMBER(SEARCH(Skills!$B$15,AU296)))),1,0))</f>
        <v/>
      </c>
      <c r="BI296" s="23">
        <f>IF(AR296="","",IF(OR(TRIM(AP296&amp;"")&lt;&gt;"",AND(Skills!$B$16&lt;&gt;"",ISNUMBER(SEARCH(Skills!$B$16,AU296)))),1,0))</f>
        <v/>
      </c>
      <c r="BJ296" s="23">
        <f>IF(AR296="","",SUMPRODUCT($AX296:$BI296,Skills!$B$20:$M$20))</f>
        <v/>
      </c>
      <c r="BK296" s="23">
        <f>IF(AR296="","",BJ296*100000+(100000-ROW()))</f>
        <v/>
      </c>
      <c r="BL296" s="31">
        <f>IF(AR296="","",IF((IF(AND(AX296=1,Skills!$B$20=1),Skills!$B$5&amp;", ","")&amp;IF(AND(AY296=1,Skills!$C$20=1),Skills!$B$6&amp;", ","")&amp;IF(AND(AZ296=1,Skills!$D$20=1),Skills!$B$7&amp;", ","")&amp;IF(AND(BA296=1,Skills!$E$20=1),Skills!$B$8&amp;", ","")&amp;IF(AND(BB296=1,Skills!$F$20=1),Skills!$B$9&amp;", ","")&amp;IF(AND(BC296=1,Skills!$G$20=1),Skills!$B$10&amp;", ","")&amp;IF(AND(BD296=1,Skills!$H$20=1),Skills!$B$11&amp;", ","")&amp;IF(AND(BE296=1,Skills!$I$20=1),Skills!$B$12&amp;", ","")&amp;IF(AND(BF296=1,Skills!$J$20=1),Skills!$B$13&amp;", ","")&amp;IF(AND(BG296=1,Skills!$K$20=1),Skills!$B$14&amp;", ","")&amp;IF(AND(BH296=1,Skills!$L$20=1),Skills!$B$15&amp;", ","")&amp;IF(AND(BI296=1,Skills!$M$20=1),Skills!$B$16&amp;", ",""))="","",LEFT(IF(AND(AX296=1,Skills!$B$20=1),Skills!$B$5&amp;", ","")&amp;IF(AND(AY296=1,Skills!$C$20=1),Skills!$B$6&amp;", ","")&amp;IF(AND(AZ296=1,Skills!$D$20=1),Skills!$B$7&amp;", ","")&amp;IF(AND(BA296=1,Skills!$E$20=1),Skills!$B$8&amp;", ","")&amp;IF(AND(BB296=1,Skills!$F$20=1),Skills!$B$9&amp;", ","")&amp;IF(AND(BC296=1,Skills!$G$20=1),Skills!$B$10&amp;", ","")&amp;IF(AND(BD296=1,Skills!$H$20=1),Skills!$B$11&amp;", ","")&amp;IF(AND(BE296=1,Skills!$I$20=1),Skills!$B$12&amp;", ","")&amp;IF(AND(BF296=1,Skills!$J$20=1),Skills!$B$13&amp;", ","")&amp;IF(AND(BG296=1,Skills!$K$20=1),Skills!$B$14&amp;", ","")&amp;IF(AND(BH296=1,Skills!$L$20=1),Skills!$B$15&amp;", ","")&amp;IF(AND(BI296=1,Skills!$M$20=1),Skills!$B$16&amp;", ",""),LEN(IF(AND(AX296=1,Skills!$B$20=1),Skills!$B$5&amp;", ","")&amp;IF(AND(AY296=1,Skills!$C$20=1),Skills!$B$6&amp;", ","")&amp;IF(AND(AZ296=1,Skills!$D$20=1),Skills!$B$7&amp;", ","")&amp;IF(AND(BA296=1,Skills!$E$20=1),Skills!$B$8&amp;", ","")&amp;IF(AND(BB296=1,Skills!$F$20=1),Skills!$B$9&amp;", ","")&amp;IF(AND(BC296=1,Skills!$G$20=1),Skills!$B$10&amp;", ","")&amp;IF(AND(BD296=1,Skills!$H$20=1),Skills!$B$11&amp;", ","")&amp;IF(AND(BE296=1,Skills!$I$20=1),Skills!$B$12&amp;", ","")&amp;IF(AND(BF296=1,Skills!$J$20=1),Skills!$B$13&amp;", ","")&amp;IF(AND(BG296=1,Skills!$K$20=1),Skills!$B$14&amp;", ","")&amp;IF(AND(BH296=1,Skills!$L$20=1),Skills!$B$15&amp;", ","")&amp;IF(AND(BI296=1,Skills!$M$20=1),Skills!$B$16&amp;", ",""))-2)))</f>
        <v/>
      </c>
    </row>
    <row r="297">
      <c r="AD297" s="20" t="n"/>
      <c r="AE297" s="20" t="n"/>
      <c r="AF297" s="20" t="n"/>
      <c r="AG297" s="20" t="n"/>
      <c r="AH297" s="20" t="n"/>
      <c r="AI297" s="20" t="n"/>
      <c r="AJ297" s="20" t="n"/>
      <c r="AK297" s="20" t="n"/>
      <c r="AL297" s="20" t="n"/>
      <c r="AM297" s="20" t="n"/>
      <c r="AN297" s="20" t="n"/>
      <c r="AO297" s="20" t="n"/>
      <c r="AP297" s="20" t="n"/>
      <c r="AR297" s="31">
        <f>IF(IFERROR(TRIM(INDEX($A297:$AB297,MATCH(Lists!$B$5,$A$1:$AB$1,0))&amp;""),"")&lt;&gt;"",IFERROR(TRIM(INDEX($A297:$AB297,MATCH(Lists!$B$5,$A$1:$AB$1,0))&amp;""),""),IFERROR(TRIM(INDEX($A297:$AB297,MATCH(Lists!$B$3,$A$1:$AB$1,0))&amp;""),""))</f>
        <v/>
      </c>
      <c r="AS297" s="31">
        <f>IF(AR297="","",IF(IFERROR(TRIM(INDEX($A297:$AB297,MATCH(Lists!$B$5,$A$1:$AB$1,0))&amp;""),"")&lt;&gt;"","Nominated","Applied"))</f>
        <v/>
      </c>
      <c r="AT297" s="31">
        <f>IF(AR297="","",IF(IFERROR(TRIM(INDEX($A297:$AB297,MATCH(Lists!$B$5,$A$1:$AB$1,0))&amp;""),"")&lt;&gt;"",IFERROR(TRIM(INDEX($A297:$AB297,MATCH(Lists!$B$6,$A$1:$AB$1,0))&amp;""),""),IFERROR(TRIM(INDEX($A297:$AB297,MATCH(Lists!$B$4,$A$1:$AB$1,0))&amp;""),"")))</f>
        <v/>
      </c>
      <c r="AU297" s="31">
        <f>IF(AR297="","",IFERROR(TRIM(INDEX($A297:$AB297,MATCH(Lists!$B$7,$A$1:$AB$1,0))&amp;""),""))</f>
        <v/>
      </c>
      <c r="AV297" s="31">
        <f>IF(AR297="","",IFERROR(TRIM(INDEX($A297:$AB297,MATCH(Lists!$B$9,$A$1:$AB$1,0))&amp;""),""))</f>
        <v/>
      </c>
      <c r="AW297" s="31">
        <f>IF(AR297="","",IFERROR(TRIM(INDEX($A297:$AB297,MATCH(Lists!$B$8,$A$1:$AB$1,0))&amp;""),""))</f>
        <v/>
      </c>
      <c r="AX297" s="23">
        <f>IF(AR297="","",IF(OR(TRIM(AE297&amp;"")&lt;&gt;"",AND(Skills!$B$5&lt;&gt;"",ISNUMBER(SEARCH(Skills!$B$5,AU297)))),1,0))</f>
        <v/>
      </c>
      <c r="AY297" s="23">
        <f>IF(AR297="","",IF(OR(TRIM(AF297&amp;"")&lt;&gt;"",AND(Skills!$B$6&lt;&gt;"",ISNUMBER(SEARCH(Skills!$B$6,AU297)))),1,0))</f>
        <v/>
      </c>
      <c r="AZ297" s="23">
        <f>IF(AR297="","",IF(OR(TRIM(AG297&amp;"")&lt;&gt;"",AND(Skills!$B$7&lt;&gt;"",ISNUMBER(SEARCH(Skills!$B$7,AU297)))),1,0))</f>
        <v/>
      </c>
      <c r="BA297" s="23">
        <f>IF(AR297="","",IF(OR(TRIM(AH297&amp;"")&lt;&gt;"",AND(Skills!$B$8&lt;&gt;"",ISNUMBER(SEARCH(Skills!$B$8,AU297)))),1,0))</f>
        <v/>
      </c>
      <c r="BB297" s="23">
        <f>IF(AR297="","",IF(OR(TRIM(AI297&amp;"")&lt;&gt;"",AND(Skills!$B$9&lt;&gt;"",ISNUMBER(SEARCH(Skills!$B$9,AU297)))),1,0))</f>
        <v/>
      </c>
      <c r="BC297" s="23">
        <f>IF(AR297="","",IF(OR(TRIM(AJ297&amp;"")&lt;&gt;"",AND(Skills!$B$10&lt;&gt;"",ISNUMBER(SEARCH(Skills!$B$10,AU297)))),1,0))</f>
        <v/>
      </c>
      <c r="BD297" s="23">
        <f>IF(AR297="","",IF(OR(TRIM(AK297&amp;"")&lt;&gt;"",AND(Skills!$B$11&lt;&gt;"",ISNUMBER(SEARCH(Skills!$B$11,AU297)))),1,0))</f>
        <v/>
      </c>
      <c r="BE297" s="23">
        <f>IF(AR297="","",IF(OR(TRIM(AL297&amp;"")&lt;&gt;"",AND(Skills!$B$12&lt;&gt;"",ISNUMBER(SEARCH(Skills!$B$12,AU297)))),1,0))</f>
        <v/>
      </c>
      <c r="BF297" s="23">
        <f>IF(AR297="","",IF(OR(TRIM(AM297&amp;"")&lt;&gt;"",AND(Skills!$B$13&lt;&gt;"",ISNUMBER(SEARCH(Skills!$B$13,AU297)))),1,0))</f>
        <v/>
      </c>
      <c r="BG297" s="23">
        <f>IF(AR297="","",IF(OR(TRIM(AN297&amp;"")&lt;&gt;"",AND(Skills!$B$14&lt;&gt;"",ISNUMBER(SEARCH(Skills!$B$14,AU297)))),1,0))</f>
        <v/>
      </c>
      <c r="BH297" s="23">
        <f>IF(AR297="","",IF(OR(TRIM(AO297&amp;"")&lt;&gt;"",AND(Skills!$B$15&lt;&gt;"",ISNUMBER(SEARCH(Skills!$B$15,AU297)))),1,0))</f>
        <v/>
      </c>
      <c r="BI297" s="23">
        <f>IF(AR297="","",IF(OR(TRIM(AP297&amp;"")&lt;&gt;"",AND(Skills!$B$16&lt;&gt;"",ISNUMBER(SEARCH(Skills!$B$16,AU297)))),1,0))</f>
        <v/>
      </c>
      <c r="BJ297" s="23">
        <f>IF(AR297="","",SUMPRODUCT($AX297:$BI297,Skills!$B$20:$M$20))</f>
        <v/>
      </c>
      <c r="BK297" s="23">
        <f>IF(AR297="","",BJ297*100000+(100000-ROW()))</f>
        <v/>
      </c>
      <c r="BL297" s="31">
        <f>IF(AR297="","",IF((IF(AND(AX297=1,Skills!$B$20=1),Skills!$B$5&amp;", ","")&amp;IF(AND(AY297=1,Skills!$C$20=1),Skills!$B$6&amp;", ","")&amp;IF(AND(AZ297=1,Skills!$D$20=1),Skills!$B$7&amp;", ","")&amp;IF(AND(BA297=1,Skills!$E$20=1),Skills!$B$8&amp;", ","")&amp;IF(AND(BB297=1,Skills!$F$20=1),Skills!$B$9&amp;", ","")&amp;IF(AND(BC297=1,Skills!$G$20=1),Skills!$B$10&amp;", ","")&amp;IF(AND(BD297=1,Skills!$H$20=1),Skills!$B$11&amp;", ","")&amp;IF(AND(BE297=1,Skills!$I$20=1),Skills!$B$12&amp;", ","")&amp;IF(AND(BF297=1,Skills!$J$20=1),Skills!$B$13&amp;", ","")&amp;IF(AND(BG297=1,Skills!$K$20=1),Skills!$B$14&amp;", ","")&amp;IF(AND(BH297=1,Skills!$L$20=1),Skills!$B$15&amp;", ","")&amp;IF(AND(BI297=1,Skills!$M$20=1),Skills!$B$16&amp;", ",""))="","",LEFT(IF(AND(AX297=1,Skills!$B$20=1),Skills!$B$5&amp;", ","")&amp;IF(AND(AY297=1,Skills!$C$20=1),Skills!$B$6&amp;", ","")&amp;IF(AND(AZ297=1,Skills!$D$20=1),Skills!$B$7&amp;", ","")&amp;IF(AND(BA297=1,Skills!$E$20=1),Skills!$B$8&amp;", ","")&amp;IF(AND(BB297=1,Skills!$F$20=1),Skills!$B$9&amp;", ","")&amp;IF(AND(BC297=1,Skills!$G$20=1),Skills!$B$10&amp;", ","")&amp;IF(AND(BD297=1,Skills!$H$20=1),Skills!$B$11&amp;", ","")&amp;IF(AND(BE297=1,Skills!$I$20=1),Skills!$B$12&amp;", ","")&amp;IF(AND(BF297=1,Skills!$J$20=1),Skills!$B$13&amp;", ","")&amp;IF(AND(BG297=1,Skills!$K$20=1),Skills!$B$14&amp;", ","")&amp;IF(AND(BH297=1,Skills!$L$20=1),Skills!$B$15&amp;", ","")&amp;IF(AND(BI297=1,Skills!$M$20=1),Skills!$B$16&amp;", ",""),LEN(IF(AND(AX297=1,Skills!$B$20=1),Skills!$B$5&amp;", ","")&amp;IF(AND(AY297=1,Skills!$C$20=1),Skills!$B$6&amp;", ","")&amp;IF(AND(AZ297=1,Skills!$D$20=1),Skills!$B$7&amp;", ","")&amp;IF(AND(BA297=1,Skills!$E$20=1),Skills!$B$8&amp;", ","")&amp;IF(AND(BB297=1,Skills!$F$20=1),Skills!$B$9&amp;", ","")&amp;IF(AND(BC297=1,Skills!$G$20=1),Skills!$B$10&amp;", ","")&amp;IF(AND(BD297=1,Skills!$H$20=1),Skills!$B$11&amp;", ","")&amp;IF(AND(BE297=1,Skills!$I$20=1),Skills!$B$12&amp;", ","")&amp;IF(AND(BF297=1,Skills!$J$20=1),Skills!$B$13&amp;", ","")&amp;IF(AND(BG297=1,Skills!$K$20=1),Skills!$B$14&amp;", ","")&amp;IF(AND(BH297=1,Skills!$L$20=1),Skills!$B$15&amp;", ","")&amp;IF(AND(BI297=1,Skills!$M$20=1),Skills!$B$16&amp;", ",""))-2)))</f>
        <v/>
      </c>
    </row>
    <row r="298">
      <c r="AD298" s="20" t="n"/>
      <c r="AE298" s="20" t="n"/>
      <c r="AF298" s="20" t="n"/>
      <c r="AG298" s="20" t="n"/>
      <c r="AH298" s="20" t="n"/>
      <c r="AI298" s="20" t="n"/>
      <c r="AJ298" s="20" t="n"/>
      <c r="AK298" s="20" t="n"/>
      <c r="AL298" s="20" t="n"/>
      <c r="AM298" s="20" t="n"/>
      <c r="AN298" s="20" t="n"/>
      <c r="AO298" s="20" t="n"/>
      <c r="AP298" s="20" t="n"/>
      <c r="AR298" s="31">
        <f>IF(IFERROR(TRIM(INDEX($A298:$AB298,MATCH(Lists!$B$5,$A$1:$AB$1,0))&amp;""),"")&lt;&gt;"",IFERROR(TRIM(INDEX($A298:$AB298,MATCH(Lists!$B$5,$A$1:$AB$1,0))&amp;""),""),IFERROR(TRIM(INDEX($A298:$AB298,MATCH(Lists!$B$3,$A$1:$AB$1,0))&amp;""),""))</f>
        <v/>
      </c>
      <c r="AS298" s="31">
        <f>IF(AR298="","",IF(IFERROR(TRIM(INDEX($A298:$AB298,MATCH(Lists!$B$5,$A$1:$AB$1,0))&amp;""),"")&lt;&gt;"","Nominated","Applied"))</f>
        <v/>
      </c>
      <c r="AT298" s="31">
        <f>IF(AR298="","",IF(IFERROR(TRIM(INDEX($A298:$AB298,MATCH(Lists!$B$5,$A$1:$AB$1,0))&amp;""),"")&lt;&gt;"",IFERROR(TRIM(INDEX($A298:$AB298,MATCH(Lists!$B$6,$A$1:$AB$1,0))&amp;""),""),IFERROR(TRIM(INDEX($A298:$AB298,MATCH(Lists!$B$4,$A$1:$AB$1,0))&amp;""),"")))</f>
        <v/>
      </c>
      <c r="AU298" s="31">
        <f>IF(AR298="","",IFERROR(TRIM(INDEX($A298:$AB298,MATCH(Lists!$B$7,$A$1:$AB$1,0))&amp;""),""))</f>
        <v/>
      </c>
      <c r="AV298" s="31">
        <f>IF(AR298="","",IFERROR(TRIM(INDEX($A298:$AB298,MATCH(Lists!$B$9,$A$1:$AB$1,0))&amp;""),""))</f>
        <v/>
      </c>
      <c r="AW298" s="31">
        <f>IF(AR298="","",IFERROR(TRIM(INDEX($A298:$AB298,MATCH(Lists!$B$8,$A$1:$AB$1,0))&amp;""),""))</f>
        <v/>
      </c>
      <c r="AX298" s="23">
        <f>IF(AR298="","",IF(OR(TRIM(AE298&amp;"")&lt;&gt;"",AND(Skills!$B$5&lt;&gt;"",ISNUMBER(SEARCH(Skills!$B$5,AU298)))),1,0))</f>
        <v/>
      </c>
      <c r="AY298" s="23">
        <f>IF(AR298="","",IF(OR(TRIM(AF298&amp;"")&lt;&gt;"",AND(Skills!$B$6&lt;&gt;"",ISNUMBER(SEARCH(Skills!$B$6,AU298)))),1,0))</f>
        <v/>
      </c>
      <c r="AZ298" s="23">
        <f>IF(AR298="","",IF(OR(TRIM(AG298&amp;"")&lt;&gt;"",AND(Skills!$B$7&lt;&gt;"",ISNUMBER(SEARCH(Skills!$B$7,AU298)))),1,0))</f>
        <v/>
      </c>
      <c r="BA298" s="23">
        <f>IF(AR298="","",IF(OR(TRIM(AH298&amp;"")&lt;&gt;"",AND(Skills!$B$8&lt;&gt;"",ISNUMBER(SEARCH(Skills!$B$8,AU298)))),1,0))</f>
        <v/>
      </c>
      <c r="BB298" s="23">
        <f>IF(AR298="","",IF(OR(TRIM(AI298&amp;"")&lt;&gt;"",AND(Skills!$B$9&lt;&gt;"",ISNUMBER(SEARCH(Skills!$B$9,AU298)))),1,0))</f>
        <v/>
      </c>
      <c r="BC298" s="23">
        <f>IF(AR298="","",IF(OR(TRIM(AJ298&amp;"")&lt;&gt;"",AND(Skills!$B$10&lt;&gt;"",ISNUMBER(SEARCH(Skills!$B$10,AU298)))),1,0))</f>
        <v/>
      </c>
      <c r="BD298" s="23">
        <f>IF(AR298="","",IF(OR(TRIM(AK298&amp;"")&lt;&gt;"",AND(Skills!$B$11&lt;&gt;"",ISNUMBER(SEARCH(Skills!$B$11,AU298)))),1,0))</f>
        <v/>
      </c>
      <c r="BE298" s="23">
        <f>IF(AR298="","",IF(OR(TRIM(AL298&amp;"")&lt;&gt;"",AND(Skills!$B$12&lt;&gt;"",ISNUMBER(SEARCH(Skills!$B$12,AU298)))),1,0))</f>
        <v/>
      </c>
      <c r="BF298" s="23">
        <f>IF(AR298="","",IF(OR(TRIM(AM298&amp;"")&lt;&gt;"",AND(Skills!$B$13&lt;&gt;"",ISNUMBER(SEARCH(Skills!$B$13,AU298)))),1,0))</f>
        <v/>
      </c>
      <c r="BG298" s="23">
        <f>IF(AR298="","",IF(OR(TRIM(AN298&amp;"")&lt;&gt;"",AND(Skills!$B$14&lt;&gt;"",ISNUMBER(SEARCH(Skills!$B$14,AU298)))),1,0))</f>
        <v/>
      </c>
      <c r="BH298" s="23">
        <f>IF(AR298="","",IF(OR(TRIM(AO298&amp;"")&lt;&gt;"",AND(Skills!$B$15&lt;&gt;"",ISNUMBER(SEARCH(Skills!$B$15,AU298)))),1,0))</f>
        <v/>
      </c>
      <c r="BI298" s="23">
        <f>IF(AR298="","",IF(OR(TRIM(AP298&amp;"")&lt;&gt;"",AND(Skills!$B$16&lt;&gt;"",ISNUMBER(SEARCH(Skills!$B$16,AU298)))),1,0))</f>
        <v/>
      </c>
      <c r="BJ298" s="23">
        <f>IF(AR298="","",SUMPRODUCT($AX298:$BI298,Skills!$B$20:$M$20))</f>
        <v/>
      </c>
      <c r="BK298" s="23">
        <f>IF(AR298="","",BJ298*100000+(100000-ROW()))</f>
        <v/>
      </c>
      <c r="BL298" s="31">
        <f>IF(AR298="","",IF((IF(AND(AX298=1,Skills!$B$20=1),Skills!$B$5&amp;", ","")&amp;IF(AND(AY298=1,Skills!$C$20=1),Skills!$B$6&amp;", ","")&amp;IF(AND(AZ298=1,Skills!$D$20=1),Skills!$B$7&amp;", ","")&amp;IF(AND(BA298=1,Skills!$E$20=1),Skills!$B$8&amp;", ","")&amp;IF(AND(BB298=1,Skills!$F$20=1),Skills!$B$9&amp;", ","")&amp;IF(AND(BC298=1,Skills!$G$20=1),Skills!$B$10&amp;", ","")&amp;IF(AND(BD298=1,Skills!$H$20=1),Skills!$B$11&amp;", ","")&amp;IF(AND(BE298=1,Skills!$I$20=1),Skills!$B$12&amp;", ","")&amp;IF(AND(BF298=1,Skills!$J$20=1),Skills!$B$13&amp;", ","")&amp;IF(AND(BG298=1,Skills!$K$20=1),Skills!$B$14&amp;", ","")&amp;IF(AND(BH298=1,Skills!$L$20=1),Skills!$B$15&amp;", ","")&amp;IF(AND(BI298=1,Skills!$M$20=1),Skills!$B$16&amp;", ",""))="","",LEFT(IF(AND(AX298=1,Skills!$B$20=1),Skills!$B$5&amp;", ","")&amp;IF(AND(AY298=1,Skills!$C$20=1),Skills!$B$6&amp;", ","")&amp;IF(AND(AZ298=1,Skills!$D$20=1),Skills!$B$7&amp;", ","")&amp;IF(AND(BA298=1,Skills!$E$20=1),Skills!$B$8&amp;", ","")&amp;IF(AND(BB298=1,Skills!$F$20=1),Skills!$B$9&amp;", ","")&amp;IF(AND(BC298=1,Skills!$G$20=1),Skills!$B$10&amp;", ","")&amp;IF(AND(BD298=1,Skills!$H$20=1),Skills!$B$11&amp;", ","")&amp;IF(AND(BE298=1,Skills!$I$20=1),Skills!$B$12&amp;", ","")&amp;IF(AND(BF298=1,Skills!$J$20=1),Skills!$B$13&amp;", ","")&amp;IF(AND(BG298=1,Skills!$K$20=1),Skills!$B$14&amp;", ","")&amp;IF(AND(BH298=1,Skills!$L$20=1),Skills!$B$15&amp;", ","")&amp;IF(AND(BI298=1,Skills!$M$20=1),Skills!$B$16&amp;", ",""),LEN(IF(AND(AX298=1,Skills!$B$20=1),Skills!$B$5&amp;", ","")&amp;IF(AND(AY298=1,Skills!$C$20=1),Skills!$B$6&amp;", ","")&amp;IF(AND(AZ298=1,Skills!$D$20=1),Skills!$B$7&amp;", ","")&amp;IF(AND(BA298=1,Skills!$E$20=1),Skills!$B$8&amp;", ","")&amp;IF(AND(BB298=1,Skills!$F$20=1),Skills!$B$9&amp;", ","")&amp;IF(AND(BC298=1,Skills!$G$20=1),Skills!$B$10&amp;", ","")&amp;IF(AND(BD298=1,Skills!$H$20=1),Skills!$B$11&amp;", ","")&amp;IF(AND(BE298=1,Skills!$I$20=1),Skills!$B$12&amp;", ","")&amp;IF(AND(BF298=1,Skills!$J$20=1),Skills!$B$13&amp;", ","")&amp;IF(AND(BG298=1,Skills!$K$20=1),Skills!$B$14&amp;", ","")&amp;IF(AND(BH298=1,Skills!$L$20=1),Skills!$B$15&amp;", ","")&amp;IF(AND(BI298=1,Skills!$M$20=1),Skills!$B$16&amp;", ",""))-2)))</f>
        <v/>
      </c>
    </row>
    <row r="299">
      <c r="AD299" s="20" t="n"/>
      <c r="AE299" s="20" t="n"/>
      <c r="AF299" s="20" t="n"/>
      <c r="AG299" s="20" t="n"/>
      <c r="AH299" s="20" t="n"/>
      <c r="AI299" s="20" t="n"/>
      <c r="AJ299" s="20" t="n"/>
      <c r="AK299" s="20" t="n"/>
      <c r="AL299" s="20" t="n"/>
      <c r="AM299" s="20" t="n"/>
      <c r="AN299" s="20" t="n"/>
      <c r="AO299" s="20" t="n"/>
      <c r="AP299" s="20" t="n"/>
      <c r="AR299" s="31">
        <f>IF(IFERROR(TRIM(INDEX($A299:$AB299,MATCH(Lists!$B$5,$A$1:$AB$1,0))&amp;""),"")&lt;&gt;"",IFERROR(TRIM(INDEX($A299:$AB299,MATCH(Lists!$B$5,$A$1:$AB$1,0))&amp;""),""),IFERROR(TRIM(INDEX($A299:$AB299,MATCH(Lists!$B$3,$A$1:$AB$1,0))&amp;""),""))</f>
        <v/>
      </c>
      <c r="AS299" s="31">
        <f>IF(AR299="","",IF(IFERROR(TRIM(INDEX($A299:$AB299,MATCH(Lists!$B$5,$A$1:$AB$1,0))&amp;""),"")&lt;&gt;"","Nominated","Applied"))</f>
        <v/>
      </c>
      <c r="AT299" s="31">
        <f>IF(AR299="","",IF(IFERROR(TRIM(INDEX($A299:$AB299,MATCH(Lists!$B$5,$A$1:$AB$1,0))&amp;""),"")&lt;&gt;"",IFERROR(TRIM(INDEX($A299:$AB299,MATCH(Lists!$B$6,$A$1:$AB$1,0))&amp;""),""),IFERROR(TRIM(INDEX($A299:$AB299,MATCH(Lists!$B$4,$A$1:$AB$1,0))&amp;""),"")))</f>
        <v/>
      </c>
      <c r="AU299" s="31">
        <f>IF(AR299="","",IFERROR(TRIM(INDEX($A299:$AB299,MATCH(Lists!$B$7,$A$1:$AB$1,0))&amp;""),""))</f>
        <v/>
      </c>
      <c r="AV299" s="31">
        <f>IF(AR299="","",IFERROR(TRIM(INDEX($A299:$AB299,MATCH(Lists!$B$9,$A$1:$AB$1,0))&amp;""),""))</f>
        <v/>
      </c>
      <c r="AW299" s="31">
        <f>IF(AR299="","",IFERROR(TRIM(INDEX($A299:$AB299,MATCH(Lists!$B$8,$A$1:$AB$1,0))&amp;""),""))</f>
        <v/>
      </c>
      <c r="AX299" s="23">
        <f>IF(AR299="","",IF(OR(TRIM(AE299&amp;"")&lt;&gt;"",AND(Skills!$B$5&lt;&gt;"",ISNUMBER(SEARCH(Skills!$B$5,AU299)))),1,0))</f>
        <v/>
      </c>
      <c r="AY299" s="23">
        <f>IF(AR299="","",IF(OR(TRIM(AF299&amp;"")&lt;&gt;"",AND(Skills!$B$6&lt;&gt;"",ISNUMBER(SEARCH(Skills!$B$6,AU299)))),1,0))</f>
        <v/>
      </c>
      <c r="AZ299" s="23">
        <f>IF(AR299="","",IF(OR(TRIM(AG299&amp;"")&lt;&gt;"",AND(Skills!$B$7&lt;&gt;"",ISNUMBER(SEARCH(Skills!$B$7,AU299)))),1,0))</f>
        <v/>
      </c>
      <c r="BA299" s="23">
        <f>IF(AR299="","",IF(OR(TRIM(AH299&amp;"")&lt;&gt;"",AND(Skills!$B$8&lt;&gt;"",ISNUMBER(SEARCH(Skills!$B$8,AU299)))),1,0))</f>
        <v/>
      </c>
      <c r="BB299" s="23">
        <f>IF(AR299="","",IF(OR(TRIM(AI299&amp;"")&lt;&gt;"",AND(Skills!$B$9&lt;&gt;"",ISNUMBER(SEARCH(Skills!$B$9,AU299)))),1,0))</f>
        <v/>
      </c>
      <c r="BC299" s="23">
        <f>IF(AR299="","",IF(OR(TRIM(AJ299&amp;"")&lt;&gt;"",AND(Skills!$B$10&lt;&gt;"",ISNUMBER(SEARCH(Skills!$B$10,AU299)))),1,0))</f>
        <v/>
      </c>
      <c r="BD299" s="23">
        <f>IF(AR299="","",IF(OR(TRIM(AK299&amp;"")&lt;&gt;"",AND(Skills!$B$11&lt;&gt;"",ISNUMBER(SEARCH(Skills!$B$11,AU299)))),1,0))</f>
        <v/>
      </c>
      <c r="BE299" s="23">
        <f>IF(AR299="","",IF(OR(TRIM(AL299&amp;"")&lt;&gt;"",AND(Skills!$B$12&lt;&gt;"",ISNUMBER(SEARCH(Skills!$B$12,AU299)))),1,0))</f>
        <v/>
      </c>
      <c r="BF299" s="23">
        <f>IF(AR299="","",IF(OR(TRIM(AM299&amp;"")&lt;&gt;"",AND(Skills!$B$13&lt;&gt;"",ISNUMBER(SEARCH(Skills!$B$13,AU299)))),1,0))</f>
        <v/>
      </c>
      <c r="BG299" s="23">
        <f>IF(AR299="","",IF(OR(TRIM(AN299&amp;"")&lt;&gt;"",AND(Skills!$B$14&lt;&gt;"",ISNUMBER(SEARCH(Skills!$B$14,AU299)))),1,0))</f>
        <v/>
      </c>
      <c r="BH299" s="23">
        <f>IF(AR299="","",IF(OR(TRIM(AO299&amp;"")&lt;&gt;"",AND(Skills!$B$15&lt;&gt;"",ISNUMBER(SEARCH(Skills!$B$15,AU299)))),1,0))</f>
        <v/>
      </c>
      <c r="BI299" s="23">
        <f>IF(AR299="","",IF(OR(TRIM(AP299&amp;"")&lt;&gt;"",AND(Skills!$B$16&lt;&gt;"",ISNUMBER(SEARCH(Skills!$B$16,AU299)))),1,0))</f>
        <v/>
      </c>
      <c r="BJ299" s="23">
        <f>IF(AR299="","",SUMPRODUCT($AX299:$BI299,Skills!$B$20:$M$20))</f>
        <v/>
      </c>
      <c r="BK299" s="23">
        <f>IF(AR299="","",BJ299*100000+(100000-ROW()))</f>
        <v/>
      </c>
      <c r="BL299" s="31">
        <f>IF(AR299="","",IF((IF(AND(AX299=1,Skills!$B$20=1),Skills!$B$5&amp;", ","")&amp;IF(AND(AY299=1,Skills!$C$20=1),Skills!$B$6&amp;", ","")&amp;IF(AND(AZ299=1,Skills!$D$20=1),Skills!$B$7&amp;", ","")&amp;IF(AND(BA299=1,Skills!$E$20=1),Skills!$B$8&amp;", ","")&amp;IF(AND(BB299=1,Skills!$F$20=1),Skills!$B$9&amp;", ","")&amp;IF(AND(BC299=1,Skills!$G$20=1),Skills!$B$10&amp;", ","")&amp;IF(AND(BD299=1,Skills!$H$20=1),Skills!$B$11&amp;", ","")&amp;IF(AND(BE299=1,Skills!$I$20=1),Skills!$B$12&amp;", ","")&amp;IF(AND(BF299=1,Skills!$J$20=1),Skills!$B$13&amp;", ","")&amp;IF(AND(BG299=1,Skills!$K$20=1),Skills!$B$14&amp;", ","")&amp;IF(AND(BH299=1,Skills!$L$20=1),Skills!$B$15&amp;", ","")&amp;IF(AND(BI299=1,Skills!$M$20=1),Skills!$B$16&amp;", ",""))="","",LEFT(IF(AND(AX299=1,Skills!$B$20=1),Skills!$B$5&amp;", ","")&amp;IF(AND(AY299=1,Skills!$C$20=1),Skills!$B$6&amp;", ","")&amp;IF(AND(AZ299=1,Skills!$D$20=1),Skills!$B$7&amp;", ","")&amp;IF(AND(BA299=1,Skills!$E$20=1),Skills!$B$8&amp;", ","")&amp;IF(AND(BB299=1,Skills!$F$20=1),Skills!$B$9&amp;", ","")&amp;IF(AND(BC299=1,Skills!$G$20=1),Skills!$B$10&amp;", ","")&amp;IF(AND(BD299=1,Skills!$H$20=1),Skills!$B$11&amp;", ","")&amp;IF(AND(BE299=1,Skills!$I$20=1),Skills!$B$12&amp;", ","")&amp;IF(AND(BF299=1,Skills!$J$20=1),Skills!$B$13&amp;", ","")&amp;IF(AND(BG299=1,Skills!$K$20=1),Skills!$B$14&amp;", ","")&amp;IF(AND(BH299=1,Skills!$L$20=1),Skills!$B$15&amp;", ","")&amp;IF(AND(BI299=1,Skills!$M$20=1),Skills!$B$16&amp;", ",""),LEN(IF(AND(AX299=1,Skills!$B$20=1),Skills!$B$5&amp;", ","")&amp;IF(AND(AY299=1,Skills!$C$20=1),Skills!$B$6&amp;", ","")&amp;IF(AND(AZ299=1,Skills!$D$20=1),Skills!$B$7&amp;", ","")&amp;IF(AND(BA299=1,Skills!$E$20=1),Skills!$B$8&amp;", ","")&amp;IF(AND(BB299=1,Skills!$F$20=1),Skills!$B$9&amp;", ","")&amp;IF(AND(BC299=1,Skills!$G$20=1),Skills!$B$10&amp;", ","")&amp;IF(AND(BD299=1,Skills!$H$20=1),Skills!$B$11&amp;", ","")&amp;IF(AND(BE299=1,Skills!$I$20=1),Skills!$B$12&amp;", ","")&amp;IF(AND(BF299=1,Skills!$J$20=1),Skills!$B$13&amp;", ","")&amp;IF(AND(BG299=1,Skills!$K$20=1),Skills!$B$14&amp;", ","")&amp;IF(AND(BH299=1,Skills!$L$20=1),Skills!$B$15&amp;", ","")&amp;IF(AND(BI299=1,Skills!$M$20=1),Skills!$B$16&amp;", ",""))-2)))</f>
        <v/>
      </c>
    </row>
    <row r="300">
      <c r="AD300" s="20" t="n"/>
      <c r="AE300" s="20" t="n"/>
      <c r="AF300" s="20" t="n"/>
      <c r="AG300" s="20" t="n"/>
      <c r="AH300" s="20" t="n"/>
      <c r="AI300" s="20" t="n"/>
      <c r="AJ300" s="20" t="n"/>
      <c r="AK300" s="20" t="n"/>
      <c r="AL300" s="20" t="n"/>
      <c r="AM300" s="20" t="n"/>
      <c r="AN300" s="20" t="n"/>
      <c r="AO300" s="20" t="n"/>
      <c r="AP300" s="20" t="n"/>
      <c r="AR300" s="31">
        <f>IF(IFERROR(TRIM(INDEX($A300:$AB300,MATCH(Lists!$B$5,$A$1:$AB$1,0))&amp;""),"")&lt;&gt;"",IFERROR(TRIM(INDEX($A300:$AB300,MATCH(Lists!$B$5,$A$1:$AB$1,0))&amp;""),""),IFERROR(TRIM(INDEX($A300:$AB300,MATCH(Lists!$B$3,$A$1:$AB$1,0))&amp;""),""))</f>
        <v/>
      </c>
      <c r="AS300" s="31">
        <f>IF(AR300="","",IF(IFERROR(TRIM(INDEX($A300:$AB300,MATCH(Lists!$B$5,$A$1:$AB$1,0))&amp;""),"")&lt;&gt;"","Nominated","Applied"))</f>
        <v/>
      </c>
      <c r="AT300" s="31">
        <f>IF(AR300="","",IF(IFERROR(TRIM(INDEX($A300:$AB300,MATCH(Lists!$B$5,$A$1:$AB$1,0))&amp;""),"")&lt;&gt;"",IFERROR(TRIM(INDEX($A300:$AB300,MATCH(Lists!$B$6,$A$1:$AB$1,0))&amp;""),""),IFERROR(TRIM(INDEX($A300:$AB300,MATCH(Lists!$B$4,$A$1:$AB$1,0))&amp;""),"")))</f>
        <v/>
      </c>
      <c r="AU300" s="31">
        <f>IF(AR300="","",IFERROR(TRIM(INDEX($A300:$AB300,MATCH(Lists!$B$7,$A$1:$AB$1,0))&amp;""),""))</f>
        <v/>
      </c>
      <c r="AV300" s="31">
        <f>IF(AR300="","",IFERROR(TRIM(INDEX($A300:$AB300,MATCH(Lists!$B$9,$A$1:$AB$1,0))&amp;""),""))</f>
        <v/>
      </c>
      <c r="AW300" s="31">
        <f>IF(AR300="","",IFERROR(TRIM(INDEX($A300:$AB300,MATCH(Lists!$B$8,$A$1:$AB$1,0))&amp;""),""))</f>
        <v/>
      </c>
      <c r="AX300" s="23">
        <f>IF(AR300="","",IF(OR(TRIM(AE300&amp;"")&lt;&gt;"",AND(Skills!$B$5&lt;&gt;"",ISNUMBER(SEARCH(Skills!$B$5,AU300)))),1,0))</f>
        <v/>
      </c>
      <c r="AY300" s="23">
        <f>IF(AR300="","",IF(OR(TRIM(AF300&amp;"")&lt;&gt;"",AND(Skills!$B$6&lt;&gt;"",ISNUMBER(SEARCH(Skills!$B$6,AU300)))),1,0))</f>
        <v/>
      </c>
      <c r="AZ300" s="23">
        <f>IF(AR300="","",IF(OR(TRIM(AG300&amp;"")&lt;&gt;"",AND(Skills!$B$7&lt;&gt;"",ISNUMBER(SEARCH(Skills!$B$7,AU300)))),1,0))</f>
        <v/>
      </c>
      <c r="BA300" s="23">
        <f>IF(AR300="","",IF(OR(TRIM(AH300&amp;"")&lt;&gt;"",AND(Skills!$B$8&lt;&gt;"",ISNUMBER(SEARCH(Skills!$B$8,AU300)))),1,0))</f>
        <v/>
      </c>
      <c r="BB300" s="23">
        <f>IF(AR300="","",IF(OR(TRIM(AI300&amp;"")&lt;&gt;"",AND(Skills!$B$9&lt;&gt;"",ISNUMBER(SEARCH(Skills!$B$9,AU300)))),1,0))</f>
        <v/>
      </c>
      <c r="BC300" s="23">
        <f>IF(AR300="","",IF(OR(TRIM(AJ300&amp;"")&lt;&gt;"",AND(Skills!$B$10&lt;&gt;"",ISNUMBER(SEARCH(Skills!$B$10,AU300)))),1,0))</f>
        <v/>
      </c>
      <c r="BD300" s="23">
        <f>IF(AR300="","",IF(OR(TRIM(AK300&amp;"")&lt;&gt;"",AND(Skills!$B$11&lt;&gt;"",ISNUMBER(SEARCH(Skills!$B$11,AU300)))),1,0))</f>
        <v/>
      </c>
      <c r="BE300" s="23">
        <f>IF(AR300="","",IF(OR(TRIM(AL300&amp;"")&lt;&gt;"",AND(Skills!$B$12&lt;&gt;"",ISNUMBER(SEARCH(Skills!$B$12,AU300)))),1,0))</f>
        <v/>
      </c>
      <c r="BF300" s="23">
        <f>IF(AR300="","",IF(OR(TRIM(AM300&amp;"")&lt;&gt;"",AND(Skills!$B$13&lt;&gt;"",ISNUMBER(SEARCH(Skills!$B$13,AU300)))),1,0))</f>
        <v/>
      </c>
      <c r="BG300" s="23">
        <f>IF(AR300="","",IF(OR(TRIM(AN300&amp;"")&lt;&gt;"",AND(Skills!$B$14&lt;&gt;"",ISNUMBER(SEARCH(Skills!$B$14,AU300)))),1,0))</f>
        <v/>
      </c>
      <c r="BH300" s="23">
        <f>IF(AR300="","",IF(OR(TRIM(AO300&amp;"")&lt;&gt;"",AND(Skills!$B$15&lt;&gt;"",ISNUMBER(SEARCH(Skills!$B$15,AU300)))),1,0))</f>
        <v/>
      </c>
      <c r="BI300" s="23">
        <f>IF(AR300="","",IF(OR(TRIM(AP300&amp;"")&lt;&gt;"",AND(Skills!$B$16&lt;&gt;"",ISNUMBER(SEARCH(Skills!$B$16,AU300)))),1,0))</f>
        <v/>
      </c>
      <c r="BJ300" s="23">
        <f>IF(AR300="","",SUMPRODUCT($AX300:$BI300,Skills!$B$20:$M$20))</f>
        <v/>
      </c>
      <c r="BK300" s="23">
        <f>IF(AR300="","",BJ300*100000+(100000-ROW()))</f>
        <v/>
      </c>
      <c r="BL300" s="31">
        <f>IF(AR300="","",IF((IF(AND(AX300=1,Skills!$B$20=1),Skills!$B$5&amp;", ","")&amp;IF(AND(AY300=1,Skills!$C$20=1),Skills!$B$6&amp;", ","")&amp;IF(AND(AZ300=1,Skills!$D$20=1),Skills!$B$7&amp;", ","")&amp;IF(AND(BA300=1,Skills!$E$20=1),Skills!$B$8&amp;", ","")&amp;IF(AND(BB300=1,Skills!$F$20=1),Skills!$B$9&amp;", ","")&amp;IF(AND(BC300=1,Skills!$G$20=1),Skills!$B$10&amp;", ","")&amp;IF(AND(BD300=1,Skills!$H$20=1),Skills!$B$11&amp;", ","")&amp;IF(AND(BE300=1,Skills!$I$20=1),Skills!$B$12&amp;", ","")&amp;IF(AND(BF300=1,Skills!$J$20=1),Skills!$B$13&amp;", ","")&amp;IF(AND(BG300=1,Skills!$K$20=1),Skills!$B$14&amp;", ","")&amp;IF(AND(BH300=1,Skills!$L$20=1),Skills!$B$15&amp;", ","")&amp;IF(AND(BI300=1,Skills!$M$20=1),Skills!$B$16&amp;", ",""))="","",LEFT(IF(AND(AX300=1,Skills!$B$20=1),Skills!$B$5&amp;", ","")&amp;IF(AND(AY300=1,Skills!$C$20=1),Skills!$B$6&amp;", ","")&amp;IF(AND(AZ300=1,Skills!$D$20=1),Skills!$B$7&amp;", ","")&amp;IF(AND(BA300=1,Skills!$E$20=1),Skills!$B$8&amp;", ","")&amp;IF(AND(BB300=1,Skills!$F$20=1),Skills!$B$9&amp;", ","")&amp;IF(AND(BC300=1,Skills!$G$20=1),Skills!$B$10&amp;", ","")&amp;IF(AND(BD300=1,Skills!$H$20=1),Skills!$B$11&amp;", ","")&amp;IF(AND(BE300=1,Skills!$I$20=1),Skills!$B$12&amp;", ","")&amp;IF(AND(BF300=1,Skills!$J$20=1),Skills!$B$13&amp;", ","")&amp;IF(AND(BG300=1,Skills!$K$20=1),Skills!$B$14&amp;", ","")&amp;IF(AND(BH300=1,Skills!$L$20=1),Skills!$B$15&amp;", ","")&amp;IF(AND(BI300=1,Skills!$M$20=1),Skills!$B$16&amp;", ",""),LEN(IF(AND(AX300=1,Skills!$B$20=1),Skills!$B$5&amp;", ","")&amp;IF(AND(AY300=1,Skills!$C$20=1),Skills!$B$6&amp;", ","")&amp;IF(AND(AZ300=1,Skills!$D$20=1),Skills!$B$7&amp;", ","")&amp;IF(AND(BA300=1,Skills!$E$20=1),Skills!$B$8&amp;", ","")&amp;IF(AND(BB300=1,Skills!$F$20=1),Skills!$B$9&amp;", ","")&amp;IF(AND(BC300=1,Skills!$G$20=1),Skills!$B$10&amp;", ","")&amp;IF(AND(BD300=1,Skills!$H$20=1),Skills!$B$11&amp;", ","")&amp;IF(AND(BE300=1,Skills!$I$20=1),Skills!$B$12&amp;", ","")&amp;IF(AND(BF300=1,Skills!$J$20=1),Skills!$B$13&amp;", ","")&amp;IF(AND(BG300=1,Skills!$K$20=1),Skills!$B$14&amp;", ","")&amp;IF(AND(BH300=1,Skills!$L$20=1),Skills!$B$15&amp;", ","")&amp;IF(AND(BI300=1,Skills!$M$20=1),Skills!$B$16&amp;", ",""))-2)))</f>
        <v/>
      </c>
    </row>
    <row r="301">
      <c r="AD301" s="20" t="n"/>
      <c r="AE301" s="20" t="n"/>
      <c r="AF301" s="20" t="n"/>
      <c r="AG301" s="20" t="n"/>
      <c r="AH301" s="20" t="n"/>
      <c r="AI301" s="20" t="n"/>
      <c r="AJ301" s="20" t="n"/>
      <c r="AK301" s="20" t="n"/>
      <c r="AL301" s="20" t="n"/>
      <c r="AM301" s="20" t="n"/>
      <c r="AN301" s="20" t="n"/>
      <c r="AO301" s="20" t="n"/>
      <c r="AP301" s="20" t="n"/>
      <c r="AR301" s="31">
        <f>IF(IFERROR(TRIM(INDEX($A301:$AB301,MATCH(Lists!$B$5,$A$1:$AB$1,0))&amp;""),"")&lt;&gt;"",IFERROR(TRIM(INDEX($A301:$AB301,MATCH(Lists!$B$5,$A$1:$AB$1,0))&amp;""),""),IFERROR(TRIM(INDEX($A301:$AB301,MATCH(Lists!$B$3,$A$1:$AB$1,0))&amp;""),""))</f>
        <v/>
      </c>
      <c r="AS301" s="31">
        <f>IF(AR301="","",IF(IFERROR(TRIM(INDEX($A301:$AB301,MATCH(Lists!$B$5,$A$1:$AB$1,0))&amp;""),"")&lt;&gt;"","Nominated","Applied"))</f>
        <v/>
      </c>
      <c r="AT301" s="31">
        <f>IF(AR301="","",IF(IFERROR(TRIM(INDEX($A301:$AB301,MATCH(Lists!$B$5,$A$1:$AB$1,0))&amp;""),"")&lt;&gt;"",IFERROR(TRIM(INDEX($A301:$AB301,MATCH(Lists!$B$6,$A$1:$AB$1,0))&amp;""),""),IFERROR(TRIM(INDEX($A301:$AB301,MATCH(Lists!$B$4,$A$1:$AB$1,0))&amp;""),"")))</f>
        <v/>
      </c>
      <c r="AU301" s="31">
        <f>IF(AR301="","",IFERROR(TRIM(INDEX($A301:$AB301,MATCH(Lists!$B$7,$A$1:$AB$1,0))&amp;""),""))</f>
        <v/>
      </c>
      <c r="AV301" s="31">
        <f>IF(AR301="","",IFERROR(TRIM(INDEX($A301:$AB301,MATCH(Lists!$B$9,$A$1:$AB$1,0))&amp;""),""))</f>
        <v/>
      </c>
      <c r="AW301" s="31">
        <f>IF(AR301="","",IFERROR(TRIM(INDEX($A301:$AB301,MATCH(Lists!$B$8,$A$1:$AB$1,0))&amp;""),""))</f>
        <v/>
      </c>
      <c r="AX301" s="23">
        <f>IF(AR301="","",IF(OR(TRIM(AE301&amp;"")&lt;&gt;"",AND(Skills!$B$5&lt;&gt;"",ISNUMBER(SEARCH(Skills!$B$5,AU301)))),1,0))</f>
        <v/>
      </c>
      <c r="AY301" s="23">
        <f>IF(AR301="","",IF(OR(TRIM(AF301&amp;"")&lt;&gt;"",AND(Skills!$B$6&lt;&gt;"",ISNUMBER(SEARCH(Skills!$B$6,AU301)))),1,0))</f>
        <v/>
      </c>
      <c r="AZ301" s="23">
        <f>IF(AR301="","",IF(OR(TRIM(AG301&amp;"")&lt;&gt;"",AND(Skills!$B$7&lt;&gt;"",ISNUMBER(SEARCH(Skills!$B$7,AU301)))),1,0))</f>
        <v/>
      </c>
      <c r="BA301" s="23">
        <f>IF(AR301="","",IF(OR(TRIM(AH301&amp;"")&lt;&gt;"",AND(Skills!$B$8&lt;&gt;"",ISNUMBER(SEARCH(Skills!$B$8,AU301)))),1,0))</f>
        <v/>
      </c>
      <c r="BB301" s="23">
        <f>IF(AR301="","",IF(OR(TRIM(AI301&amp;"")&lt;&gt;"",AND(Skills!$B$9&lt;&gt;"",ISNUMBER(SEARCH(Skills!$B$9,AU301)))),1,0))</f>
        <v/>
      </c>
      <c r="BC301" s="23">
        <f>IF(AR301="","",IF(OR(TRIM(AJ301&amp;"")&lt;&gt;"",AND(Skills!$B$10&lt;&gt;"",ISNUMBER(SEARCH(Skills!$B$10,AU301)))),1,0))</f>
        <v/>
      </c>
      <c r="BD301" s="23">
        <f>IF(AR301="","",IF(OR(TRIM(AK301&amp;"")&lt;&gt;"",AND(Skills!$B$11&lt;&gt;"",ISNUMBER(SEARCH(Skills!$B$11,AU301)))),1,0))</f>
        <v/>
      </c>
      <c r="BE301" s="23">
        <f>IF(AR301="","",IF(OR(TRIM(AL301&amp;"")&lt;&gt;"",AND(Skills!$B$12&lt;&gt;"",ISNUMBER(SEARCH(Skills!$B$12,AU301)))),1,0))</f>
        <v/>
      </c>
      <c r="BF301" s="23">
        <f>IF(AR301="","",IF(OR(TRIM(AM301&amp;"")&lt;&gt;"",AND(Skills!$B$13&lt;&gt;"",ISNUMBER(SEARCH(Skills!$B$13,AU301)))),1,0))</f>
        <v/>
      </c>
      <c r="BG301" s="23">
        <f>IF(AR301="","",IF(OR(TRIM(AN301&amp;"")&lt;&gt;"",AND(Skills!$B$14&lt;&gt;"",ISNUMBER(SEARCH(Skills!$B$14,AU301)))),1,0))</f>
        <v/>
      </c>
      <c r="BH301" s="23">
        <f>IF(AR301="","",IF(OR(TRIM(AO301&amp;"")&lt;&gt;"",AND(Skills!$B$15&lt;&gt;"",ISNUMBER(SEARCH(Skills!$B$15,AU301)))),1,0))</f>
        <v/>
      </c>
      <c r="BI301" s="23">
        <f>IF(AR301="","",IF(OR(TRIM(AP301&amp;"")&lt;&gt;"",AND(Skills!$B$16&lt;&gt;"",ISNUMBER(SEARCH(Skills!$B$16,AU301)))),1,0))</f>
        <v/>
      </c>
      <c r="BJ301" s="23">
        <f>IF(AR301="","",SUMPRODUCT($AX301:$BI301,Skills!$B$20:$M$20))</f>
        <v/>
      </c>
      <c r="BK301" s="23">
        <f>IF(AR301="","",BJ301*100000+(100000-ROW()))</f>
        <v/>
      </c>
      <c r="BL301" s="31">
        <f>IF(AR301="","",IF((IF(AND(AX301=1,Skills!$B$20=1),Skills!$B$5&amp;", ","")&amp;IF(AND(AY301=1,Skills!$C$20=1),Skills!$B$6&amp;", ","")&amp;IF(AND(AZ301=1,Skills!$D$20=1),Skills!$B$7&amp;", ","")&amp;IF(AND(BA301=1,Skills!$E$20=1),Skills!$B$8&amp;", ","")&amp;IF(AND(BB301=1,Skills!$F$20=1),Skills!$B$9&amp;", ","")&amp;IF(AND(BC301=1,Skills!$G$20=1),Skills!$B$10&amp;", ","")&amp;IF(AND(BD301=1,Skills!$H$20=1),Skills!$B$11&amp;", ","")&amp;IF(AND(BE301=1,Skills!$I$20=1),Skills!$B$12&amp;", ","")&amp;IF(AND(BF301=1,Skills!$J$20=1),Skills!$B$13&amp;", ","")&amp;IF(AND(BG301=1,Skills!$K$20=1),Skills!$B$14&amp;", ","")&amp;IF(AND(BH301=1,Skills!$L$20=1),Skills!$B$15&amp;", ","")&amp;IF(AND(BI301=1,Skills!$M$20=1),Skills!$B$16&amp;", ",""))="","",LEFT(IF(AND(AX301=1,Skills!$B$20=1),Skills!$B$5&amp;", ","")&amp;IF(AND(AY301=1,Skills!$C$20=1),Skills!$B$6&amp;", ","")&amp;IF(AND(AZ301=1,Skills!$D$20=1),Skills!$B$7&amp;", ","")&amp;IF(AND(BA301=1,Skills!$E$20=1),Skills!$B$8&amp;", ","")&amp;IF(AND(BB301=1,Skills!$F$20=1),Skills!$B$9&amp;", ","")&amp;IF(AND(BC301=1,Skills!$G$20=1),Skills!$B$10&amp;", ","")&amp;IF(AND(BD301=1,Skills!$H$20=1),Skills!$B$11&amp;", ","")&amp;IF(AND(BE301=1,Skills!$I$20=1),Skills!$B$12&amp;", ","")&amp;IF(AND(BF301=1,Skills!$J$20=1),Skills!$B$13&amp;", ","")&amp;IF(AND(BG301=1,Skills!$K$20=1),Skills!$B$14&amp;", ","")&amp;IF(AND(BH301=1,Skills!$L$20=1),Skills!$B$15&amp;", ","")&amp;IF(AND(BI301=1,Skills!$M$20=1),Skills!$B$16&amp;", ",""),LEN(IF(AND(AX301=1,Skills!$B$20=1),Skills!$B$5&amp;", ","")&amp;IF(AND(AY301=1,Skills!$C$20=1),Skills!$B$6&amp;", ","")&amp;IF(AND(AZ301=1,Skills!$D$20=1),Skills!$B$7&amp;", ","")&amp;IF(AND(BA301=1,Skills!$E$20=1),Skills!$B$8&amp;", ","")&amp;IF(AND(BB301=1,Skills!$F$20=1),Skills!$B$9&amp;", ","")&amp;IF(AND(BC301=1,Skills!$G$20=1),Skills!$B$10&amp;", ","")&amp;IF(AND(BD301=1,Skills!$H$20=1),Skills!$B$11&amp;", ","")&amp;IF(AND(BE301=1,Skills!$I$20=1),Skills!$B$12&amp;", ","")&amp;IF(AND(BF301=1,Skills!$J$20=1),Skills!$B$13&amp;", ","")&amp;IF(AND(BG301=1,Skills!$K$20=1),Skills!$B$14&amp;", ","")&amp;IF(AND(BH301=1,Skills!$L$20=1),Skills!$B$15&amp;", ","")&amp;IF(AND(BI301=1,Skills!$M$20=1),Skills!$B$16&amp;", ",""))-2)))</f>
        <v/>
      </c>
    </row>
  </sheetData>
  <dataValidations count="1">
    <dataValidation sqref="AD2:AD301" showDropDown="0" showInputMessage="1" showErrorMessage="1" allowBlank="1" errorTitle="Status" error="Pick a value from the list. Pick a status." promptTitle="Status" prompt="Pick a status." type="list" errorStyle="warning">
      <formula1>Lists!$D$2:$D$5</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4B2E83"/>
    <outlinePr summaryBelow="1" summaryRight="1"/>
    <pageSetUpPr fitToPage="1"/>
  </sheetPr>
  <dimension ref="A1:J304"/>
  <sheetViews>
    <sheetView workbookViewId="0">
      <pane ySplit="4" topLeftCell="A5" activePane="bottomLeft" state="frozen"/>
      <selection pane="bottomLeft" activeCell="A1" sqref="A1"/>
    </sheetView>
  </sheetViews>
  <sheetFormatPr baseColWidth="8" defaultRowHeight="15"/>
  <cols>
    <col width="7" customWidth="1" min="1" max="1"/>
    <col width="26" customWidth="1" min="2" max="2"/>
    <col width="18" customWidth="1" min="3" max="3"/>
    <col width="20" customWidth="1" min="4" max="4"/>
    <col width="11" customWidth="1" min="5" max="5"/>
    <col width="52" customWidth="1" min="6" max="6"/>
    <col width="14" customWidth="1" min="7" max="7"/>
    <col width="34" customWidth="1" min="8" max="8"/>
  </cols>
  <sheetData>
    <row r="1">
      <c r="A1" s="16" t="inlineStr">
        <is>
          <t>Candidates ranked by gaps filled</t>
        </is>
      </c>
    </row>
    <row r="2">
      <c r="A2" s="3">
        <f>IF(COUNTIF(Candidates!$A$2:$A$301,"EXAMPLE*")+COUNTIF('Current board'!$A$2:$A$26,"EXAMPLE*")&gt;0,"You are looking at EXAMPLE data. Clear the EXAMPLE rows on Candidates and Current board, then add your own.","")</f>
        <v/>
      </c>
    </row>
    <row r="4" ht="30" customHeight="1">
      <c r="A4" s="4" t="inlineStr">
        <is>
          <t>Rank</t>
        </is>
      </c>
      <c r="B4" s="4" t="inlineStr">
        <is>
          <t>Candidate</t>
        </is>
      </c>
      <c r="C4" s="4" t="inlineStr">
        <is>
          <t>Applied or nominated</t>
        </is>
      </c>
      <c r="D4" s="4" t="inlineStr">
        <is>
          <t>Status</t>
        </is>
      </c>
      <c r="E4" s="4" t="inlineStr">
        <is>
          <t>Gaps filled</t>
        </is>
      </c>
      <c r="F4" s="4" t="inlineStr">
        <is>
          <t>Which gaps</t>
        </is>
      </c>
      <c r="G4" s="4" t="inlineStr">
        <is>
          <t>Hours a month</t>
        </is>
      </c>
      <c r="H4" s="4" t="inlineStr">
        <is>
          <t>Committees</t>
        </is>
      </c>
      <c r="J4" s="15" t="inlineStr">
        <is>
          <t>A starting point for a conversation, not a decision.</t>
        </is>
      </c>
    </row>
    <row r="5">
      <c r="A5" s="32">
        <f>IF(ISNUMBER(LARGE(Candidates!$BK$2:$BK$301,1)),1,"")</f>
        <v/>
      </c>
      <c r="B5" s="33">
        <f>IF($A5="","",INDEX(Candidates!$AR$2:$AR$301,MATCH(LARGE(Candidates!$BK$2:$BK$301,$A5),Candidates!$BK$2:$BK$301,0))&amp;"")</f>
        <v/>
      </c>
      <c r="C5" s="34">
        <f>IF($A5="","",INDEX(Candidates!$AS$2:$AS$301,MATCH(LARGE(Candidates!$BK$2:$BK$301,$A5),Candidates!$BK$2:$BK$301,0))&amp;"")</f>
        <v/>
      </c>
      <c r="D5" s="34">
        <f>IF($A5="","",INDEX(Candidates!$AD$2:$AD$301,MATCH(LARGE(Candidates!$BK$2:$BK$301,$A5),Candidates!$BK$2:$BK$301,0))&amp;"")</f>
        <v/>
      </c>
      <c r="E5" s="32">
        <f>IF($A5="","",INDEX(Candidates!$BJ$2:$BJ$301,MATCH(LARGE(Candidates!$BK$2:$BK$301,$A5),Candidates!$BK$2:$BK$301,0)))</f>
        <v/>
      </c>
      <c r="F5" s="34">
        <f>IF($A5="","",INDEX(Candidates!$BL$2:$BL$301,MATCH(LARGE(Candidates!$BK$2:$BK$301,$A5),Candidates!$BK$2:$BK$301,0))&amp;"")</f>
        <v/>
      </c>
      <c r="G5" s="34">
        <f>IF($A5="","",INDEX(Candidates!$AV$2:$AV$301,MATCH(LARGE(Candidates!$BK$2:$BK$301,$A5),Candidates!$BK$2:$BK$301,0))&amp;"")</f>
        <v/>
      </c>
      <c r="H5" s="34">
        <f>IF($A5="","",INDEX(Candidates!$AW$2:$AW$301,MATCH(LARGE(Candidates!$BK$2:$BK$301,$A5),Candidates!$BK$2:$BK$301,0))&amp;"")</f>
        <v/>
      </c>
    </row>
    <row r="6">
      <c r="A6" s="32">
        <f>IF(ISNUMBER(LARGE(Candidates!$BK$2:$BK$301,2)),2,"")</f>
        <v/>
      </c>
      <c r="B6" s="33">
        <f>IF($A6="","",INDEX(Candidates!$AR$2:$AR$301,MATCH(LARGE(Candidates!$BK$2:$BK$301,$A6),Candidates!$BK$2:$BK$301,0))&amp;"")</f>
        <v/>
      </c>
      <c r="C6" s="34">
        <f>IF($A6="","",INDEX(Candidates!$AS$2:$AS$301,MATCH(LARGE(Candidates!$BK$2:$BK$301,$A6),Candidates!$BK$2:$BK$301,0))&amp;"")</f>
        <v/>
      </c>
      <c r="D6" s="34">
        <f>IF($A6="","",INDEX(Candidates!$AD$2:$AD$301,MATCH(LARGE(Candidates!$BK$2:$BK$301,$A6),Candidates!$BK$2:$BK$301,0))&amp;"")</f>
        <v/>
      </c>
      <c r="E6" s="32">
        <f>IF($A6="","",INDEX(Candidates!$BJ$2:$BJ$301,MATCH(LARGE(Candidates!$BK$2:$BK$301,$A6),Candidates!$BK$2:$BK$301,0)))</f>
        <v/>
      </c>
      <c r="F6" s="34">
        <f>IF($A6="","",INDEX(Candidates!$BL$2:$BL$301,MATCH(LARGE(Candidates!$BK$2:$BK$301,$A6),Candidates!$BK$2:$BK$301,0))&amp;"")</f>
        <v/>
      </c>
      <c r="G6" s="34">
        <f>IF($A6="","",INDEX(Candidates!$AV$2:$AV$301,MATCH(LARGE(Candidates!$BK$2:$BK$301,$A6),Candidates!$BK$2:$BK$301,0))&amp;"")</f>
        <v/>
      </c>
      <c r="H6" s="34">
        <f>IF($A6="","",INDEX(Candidates!$AW$2:$AW$301,MATCH(LARGE(Candidates!$BK$2:$BK$301,$A6),Candidates!$BK$2:$BK$301,0))&amp;"")</f>
        <v/>
      </c>
    </row>
    <row r="7">
      <c r="A7" s="32">
        <f>IF(ISNUMBER(LARGE(Candidates!$BK$2:$BK$301,3)),3,"")</f>
        <v/>
      </c>
      <c r="B7" s="33">
        <f>IF($A7="","",INDEX(Candidates!$AR$2:$AR$301,MATCH(LARGE(Candidates!$BK$2:$BK$301,$A7),Candidates!$BK$2:$BK$301,0))&amp;"")</f>
        <v/>
      </c>
      <c r="C7" s="34">
        <f>IF($A7="","",INDEX(Candidates!$AS$2:$AS$301,MATCH(LARGE(Candidates!$BK$2:$BK$301,$A7),Candidates!$BK$2:$BK$301,0))&amp;"")</f>
        <v/>
      </c>
      <c r="D7" s="34">
        <f>IF($A7="","",INDEX(Candidates!$AD$2:$AD$301,MATCH(LARGE(Candidates!$BK$2:$BK$301,$A7),Candidates!$BK$2:$BK$301,0))&amp;"")</f>
        <v/>
      </c>
      <c r="E7" s="32">
        <f>IF($A7="","",INDEX(Candidates!$BJ$2:$BJ$301,MATCH(LARGE(Candidates!$BK$2:$BK$301,$A7),Candidates!$BK$2:$BK$301,0)))</f>
        <v/>
      </c>
      <c r="F7" s="34">
        <f>IF($A7="","",INDEX(Candidates!$BL$2:$BL$301,MATCH(LARGE(Candidates!$BK$2:$BK$301,$A7),Candidates!$BK$2:$BK$301,0))&amp;"")</f>
        <v/>
      </c>
      <c r="G7" s="34">
        <f>IF($A7="","",INDEX(Candidates!$AV$2:$AV$301,MATCH(LARGE(Candidates!$BK$2:$BK$301,$A7),Candidates!$BK$2:$BK$301,0))&amp;"")</f>
        <v/>
      </c>
      <c r="H7" s="34">
        <f>IF($A7="","",INDEX(Candidates!$AW$2:$AW$301,MATCH(LARGE(Candidates!$BK$2:$BK$301,$A7),Candidates!$BK$2:$BK$301,0))&amp;"")</f>
        <v/>
      </c>
    </row>
    <row r="8">
      <c r="A8" s="32">
        <f>IF(ISNUMBER(LARGE(Candidates!$BK$2:$BK$301,4)),4,"")</f>
        <v/>
      </c>
      <c r="B8" s="33">
        <f>IF($A8="","",INDEX(Candidates!$AR$2:$AR$301,MATCH(LARGE(Candidates!$BK$2:$BK$301,$A8),Candidates!$BK$2:$BK$301,0))&amp;"")</f>
        <v/>
      </c>
      <c r="C8" s="34">
        <f>IF($A8="","",INDEX(Candidates!$AS$2:$AS$301,MATCH(LARGE(Candidates!$BK$2:$BK$301,$A8),Candidates!$BK$2:$BK$301,0))&amp;"")</f>
        <v/>
      </c>
      <c r="D8" s="34">
        <f>IF($A8="","",INDEX(Candidates!$AD$2:$AD$301,MATCH(LARGE(Candidates!$BK$2:$BK$301,$A8),Candidates!$BK$2:$BK$301,0))&amp;"")</f>
        <v/>
      </c>
      <c r="E8" s="32">
        <f>IF($A8="","",INDEX(Candidates!$BJ$2:$BJ$301,MATCH(LARGE(Candidates!$BK$2:$BK$301,$A8),Candidates!$BK$2:$BK$301,0)))</f>
        <v/>
      </c>
      <c r="F8" s="34">
        <f>IF($A8="","",INDEX(Candidates!$BL$2:$BL$301,MATCH(LARGE(Candidates!$BK$2:$BK$301,$A8),Candidates!$BK$2:$BK$301,0))&amp;"")</f>
        <v/>
      </c>
      <c r="G8" s="34">
        <f>IF($A8="","",INDEX(Candidates!$AV$2:$AV$301,MATCH(LARGE(Candidates!$BK$2:$BK$301,$A8),Candidates!$BK$2:$BK$301,0))&amp;"")</f>
        <v/>
      </c>
      <c r="H8" s="34">
        <f>IF($A8="","",INDEX(Candidates!$AW$2:$AW$301,MATCH(LARGE(Candidates!$BK$2:$BK$301,$A8),Candidates!$BK$2:$BK$301,0))&amp;"")</f>
        <v/>
      </c>
    </row>
    <row r="9">
      <c r="A9" s="32">
        <f>IF(ISNUMBER(LARGE(Candidates!$BK$2:$BK$301,5)),5,"")</f>
        <v/>
      </c>
      <c r="B9" s="33">
        <f>IF($A9="","",INDEX(Candidates!$AR$2:$AR$301,MATCH(LARGE(Candidates!$BK$2:$BK$301,$A9),Candidates!$BK$2:$BK$301,0))&amp;"")</f>
        <v/>
      </c>
      <c r="C9" s="34">
        <f>IF($A9="","",INDEX(Candidates!$AS$2:$AS$301,MATCH(LARGE(Candidates!$BK$2:$BK$301,$A9),Candidates!$BK$2:$BK$301,0))&amp;"")</f>
        <v/>
      </c>
      <c r="D9" s="34">
        <f>IF($A9="","",INDEX(Candidates!$AD$2:$AD$301,MATCH(LARGE(Candidates!$BK$2:$BK$301,$A9),Candidates!$BK$2:$BK$301,0))&amp;"")</f>
        <v/>
      </c>
      <c r="E9" s="32">
        <f>IF($A9="","",INDEX(Candidates!$BJ$2:$BJ$301,MATCH(LARGE(Candidates!$BK$2:$BK$301,$A9),Candidates!$BK$2:$BK$301,0)))</f>
        <v/>
      </c>
      <c r="F9" s="34">
        <f>IF($A9="","",INDEX(Candidates!$BL$2:$BL$301,MATCH(LARGE(Candidates!$BK$2:$BK$301,$A9),Candidates!$BK$2:$BK$301,0))&amp;"")</f>
        <v/>
      </c>
      <c r="G9" s="34">
        <f>IF($A9="","",INDEX(Candidates!$AV$2:$AV$301,MATCH(LARGE(Candidates!$BK$2:$BK$301,$A9),Candidates!$BK$2:$BK$301,0))&amp;"")</f>
        <v/>
      </c>
      <c r="H9" s="34">
        <f>IF($A9="","",INDEX(Candidates!$AW$2:$AW$301,MATCH(LARGE(Candidates!$BK$2:$BK$301,$A9),Candidates!$BK$2:$BK$301,0))&amp;"")</f>
        <v/>
      </c>
    </row>
    <row r="10">
      <c r="A10" s="32">
        <f>IF(ISNUMBER(LARGE(Candidates!$BK$2:$BK$301,6)),6,"")</f>
        <v/>
      </c>
      <c r="B10" s="33">
        <f>IF($A10="","",INDEX(Candidates!$AR$2:$AR$301,MATCH(LARGE(Candidates!$BK$2:$BK$301,$A10),Candidates!$BK$2:$BK$301,0))&amp;"")</f>
        <v/>
      </c>
      <c r="C10" s="34">
        <f>IF($A10="","",INDEX(Candidates!$AS$2:$AS$301,MATCH(LARGE(Candidates!$BK$2:$BK$301,$A10),Candidates!$BK$2:$BK$301,0))&amp;"")</f>
        <v/>
      </c>
      <c r="D10" s="34">
        <f>IF($A10="","",INDEX(Candidates!$AD$2:$AD$301,MATCH(LARGE(Candidates!$BK$2:$BK$301,$A10),Candidates!$BK$2:$BK$301,0))&amp;"")</f>
        <v/>
      </c>
      <c r="E10" s="32">
        <f>IF($A10="","",INDEX(Candidates!$BJ$2:$BJ$301,MATCH(LARGE(Candidates!$BK$2:$BK$301,$A10),Candidates!$BK$2:$BK$301,0)))</f>
        <v/>
      </c>
      <c r="F10" s="34">
        <f>IF($A10="","",INDEX(Candidates!$BL$2:$BL$301,MATCH(LARGE(Candidates!$BK$2:$BK$301,$A10),Candidates!$BK$2:$BK$301,0))&amp;"")</f>
        <v/>
      </c>
      <c r="G10" s="34">
        <f>IF($A10="","",INDEX(Candidates!$AV$2:$AV$301,MATCH(LARGE(Candidates!$BK$2:$BK$301,$A10),Candidates!$BK$2:$BK$301,0))&amp;"")</f>
        <v/>
      </c>
      <c r="H10" s="34">
        <f>IF($A10="","",INDEX(Candidates!$AW$2:$AW$301,MATCH(LARGE(Candidates!$BK$2:$BK$301,$A10),Candidates!$BK$2:$BK$301,0))&amp;"")</f>
        <v/>
      </c>
    </row>
    <row r="11">
      <c r="A11" s="32">
        <f>IF(ISNUMBER(LARGE(Candidates!$BK$2:$BK$301,7)),7,"")</f>
        <v/>
      </c>
      <c r="B11" s="33">
        <f>IF($A11="","",INDEX(Candidates!$AR$2:$AR$301,MATCH(LARGE(Candidates!$BK$2:$BK$301,$A11),Candidates!$BK$2:$BK$301,0))&amp;"")</f>
        <v/>
      </c>
      <c r="C11" s="34">
        <f>IF($A11="","",INDEX(Candidates!$AS$2:$AS$301,MATCH(LARGE(Candidates!$BK$2:$BK$301,$A11),Candidates!$BK$2:$BK$301,0))&amp;"")</f>
        <v/>
      </c>
      <c r="D11" s="34">
        <f>IF($A11="","",INDEX(Candidates!$AD$2:$AD$301,MATCH(LARGE(Candidates!$BK$2:$BK$301,$A11),Candidates!$BK$2:$BK$301,0))&amp;"")</f>
        <v/>
      </c>
      <c r="E11" s="32">
        <f>IF($A11="","",INDEX(Candidates!$BJ$2:$BJ$301,MATCH(LARGE(Candidates!$BK$2:$BK$301,$A11),Candidates!$BK$2:$BK$301,0)))</f>
        <v/>
      </c>
      <c r="F11" s="34">
        <f>IF($A11="","",INDEX(Candidates!$BL$2:$BL$301,MATCH(LARGE(Candidates!$BK$2:$BK$301,$A11),Candidates!$BK$2:$BK$301,0))&amp;"")</f>
        <v/>
      </c>
      <c r="G11" s="34">
        <f>IF($A11="","",INDEX(Candidates!$AV$2:$AV$301,MATCH(LARGE(Candidates!$BK$2:$BK$301,$A11),Candidates!$BK$2:$BK$301,0))&amp;"")</f>
        <v/>
      </c>
      <c r="H11" s="34">
        <f>IF($A11="","",INDEX(Candidates!$AW$2:$AW$301,MATCH(LARGE(Candidates!$BK$2:$BK$301,$A11),Candidates!$BK$2:$BK$301,0))&amp;"")</f>
        <v/>
      </c>
    </row>
    <row r="12">
      <c r="A12" s="32">
        <f>IF(ISNUMBER(LARGE(Candidates!$BK$2:$BK$301,8)),8,"")</f>
        <v/>
      </c>
      <c r="B12" s="33">
        <f>IF($A12="","",INDEX(Candidates!$AR$2:$AR$301,MATCH(LARGE(Candidates!$BK$2:$BK$301,$A12),Candidates!$BK$2:$BK$301,0))&amp;"")</f>
        <v/>
      </c>
      <c r="C12" s="34">
        <f>IF($A12="","",INDEX(Candidates!$AS$2:$AS$301,MATCH(LARGE(Candidates!$BK$2:$BK$301,$A12),Candidates!$BK$2:$BK$301,0))&amp;"")</f>
        <v/>
      </c>
      <c r="D12" s="34">
        <f>IF($A12="","",INDEX(Candidates!$AD$2:$AD$301,MATCH(LARGE(Candidates!$BK$2:$BK$301,$A12),Candidates!$BK$2:$BK$301,0))&amp;"")</f>
        <v/>
      </c>
      <c r="E12" s="32">
        <f>IF($A12="","",INDEX(Candidates!$BJ$2:$BJ$301,MATCH(LARGE(Candidates!$BK$2:$BK$301,$A12),Candidates!$BK$2:$BK$301,0)))</f>
        <v/>
      </c>
      <c r="F12" s="34">
        <f>IF($A12="","",INDEX(Candidates!$BL$2:$BL$301,MATCH(LARGE(Candidates!$BK$2:$BK$301,$A12),Candidates!$BK$2:$BK$301,0))&amp;"")</f>
        <v/>
      </c>
      <c r="G12" s="34">
        <f>IF($A12="","",INDEX(Candidates!$AV$2:$AV$301,MATCH(LARGE(Candidates!$BK$2:$BK$301,$A12),Candidates!$BK$2:$BK$301,0))&amp;"")</f>
        <v/>
      </c>
      <c r="H12" s="34">
        <f>IF($A12="","",INDEX(Candidates!$AW$2:$AW$301,MATCH(LARGE(Candidates!$BK$2:$BK$301,$A12),Candidates!$BK$2:$BK$301,0))&amp;"")</f>
        <v/>
      </c>
    </row>
    <row r="13">
      <c r="A13" s="32">
        <f>IF(ISNUMBER(LARGE(Candidates!$BK$2:$BK$301,9)),9,"")</f>
        <v/>
      </c>
      <c r="B13" s="33">
        <f>IF($A13="","",INDEX(Candidates!$AR$2:$AR$301,MATCH(LARGE(Candidates!$BK$2:$BK$301,$A13),Candidates!$BK$2:$BK$301,0))&amp;"")</f>
        <v/>
      </c>
      <c r="C13" s="34">
        <f>IF($A13="","",INDEX(Candidates!$AS$2:$AS$301,MATCH(LARGE(Candidates!$BK$2:$BK$301,$A13),Candidates!$BK$2:$BK$301,0))&amp;"")</f>
        <v/>
      </c>
      <c r="D13" s="34">
        <f>IF($A13="","",INDEX(Candidates!$AD$2:$AD$301,MATCH(LARGE(Candidates!$BK$2:$BK$301,$A13),Candidates!$BK$2:$BK$301,0))&amp;"")</f>
        <v/>
      </c>
      <c r="E13" s="32">
        <f>IF($A13="","",INDEX(Candidates!$BJ$2:$BJ$301,MATCH(LARGE(Candidates!$BK$2:$BK$301,$A13),Candidates!$BK$2:$BK$301,0)))</f>
        <v/>
      </c>
      <c r="F13" s="34">
        <f>IF($A13="","",INDEX(Candidates!$BL$2:$BL$301,MATCH(LARGE(Candidates!$BK$2:$BK$301,$A13),Candidates!$BK$2:$BK$301,0))&amp;"")</f>
        <v/>
      </c>
      <c r="G13" s="34">
        <f>IF($A13="","",INDEX(Candidates!$AV$2:$AV$301,MATCH(LARGE(Candidates!$BK$2:$BK$301,$A13),Candidates!$BK$2:$BK$301,0))&amp;"")</f>
        <v/>
      </c>
      <c r="H13" s="34">
        <f>IF($A13="","",INDEX(Candidates!$AW$2:$AW$301,MATCH(LARGE(Candidates!$BK$2:$BK$301,$A13),Candidates!$BK$2:$BK$301,0))&amp;"")</f>
        <v/>
      </c>
    </row>
    <row r="14">
      <c r="A14" s="32">
        <f>IF(ISNUMBER(LARGE(Candidates!$BK$2:$BK$301,10)),10,"")</f>
        <v/>
      </c>
      <c r="B14" s="33">
        <f>IF($A14="","",INDEX(Candidates!$AR$2:$AR$301,MATCH(LARGE(Candidates!$BK$2:$BK$301,$A14),Candidates!$BK$2:$BK$301,0))&amp;"")</f>
        <v/>
      </c>
      <c r="C14" s="34">
        <f>IF($A14="","",INDEX(Candidates!$AS$2:$AS$301,MATCH(LARGE(Candidates!$BK$2:$BK$301,$A14),Candidates!$BK$2:$BK$301,0))&amp;"")</f>
        <v/>
      </c>
      <c r="D14" s="34">
        <f>IF($A14="","",INDEX(Candidates!$AD$2:$AD$301,MATCH(LARGE(Candidates!$BK$2:$BK$301,$A14),Candidates!$BK$2:$BK$301,0))&amp;"")</f>
        <v/>
      </c>
      <c r="E14" s="32">
        <f>IF($A14="","",INDEX(Candidates!$BJ$2:$BJ$301,MATCH(LARGE(Candidates!$BK$2:$BK$301,$A14),Candidates!$BK$2:$BK$301,0)))</f>
        <v/>
      </c>
      <c r="F14" s="34">
        <f>IF($A14="","",INDEX(Candidates!$BL$2:$BL$301,MATCH(LARGE(Candidates!$BK$2:$BK$301,$A14),Candidates!$BK$2:$BK$301,0))&amp;"")</f>
        <v/>
      </c>
      <c r="G14" s="34">
        <f>IF($A14="","",INDEX(Candidates!$AV$2:$AV$301,MATCH(LARGE(Candidates!$BK$2:$BK$301,$A14),Candidates!$BK$2:$BK$301,0))&amp;"")</f>
        <v/>
      </c>
      <c r="H14" s="34">
        <f>IF($A14="","",INDEX(Candidates!$AW$2:$AW$301,MATCH(LARGE(Candidates!$BK$2:$BK$301,$A14),Candidates!$BK$2:$BK$301,0))&amp;"")</f>
        <v/>
      </c>
    </row>
    <row r="15">
      <c r="A15" s="32">
        <f>IF(ISNUMBER(LARGE(Candidates!$BK$2:$BK$301,11)),11,"")</f>
        <v/>
      </c>
      <c r="B15" s="33">
        <f>IF($A15="","",INDEX(Candidates!$AR$2:$AR$301,MATCH(LARGE(Candidates!$BK$2:$BK$301,$A15),Candidates!$BK$2:$BK$301,0))&amp;"")</f>
        <v/>
      </c>
      <c r="C15" s="34">
        <f>IF($A15="","",INDEX(Candidates!$AS$2:$AS$301,MATCH(LARGE(Candidates!$BK$2:$BK$301,$A15),Candidates!$BK$2:$BK$301,0))&amp;"")</f>
        <v/>
      </c>
      <c r="D15" s="34">
        <f>IF($A15="","",INDEX(Candidates!$AD$2:$AD$301,MATCH(LARGE(Candidates!$BK$2:$BK$301,$A15),Candidates!$BK$2:$BK$301,0))&amp;"")</f>
        <v/>
      </c>
      <c r="E15" s="32">
        <f>IF($A15="","",INDEX(Candidates!$BJ$2:$BJ$301,MATCH(LARGE(Candidates!$BK$2:$BK$301,$A15),Candidates!$BK$2:$BK$301,0)))</f>
        <v/>
      </c>
      <c r="F15" s="34">
        <f>IF($A15="","",INDEX(Candidates!$BL$2:$BL$301,MATCH(LARGE(Candidates!$BK$2:$BK$301,$A15),Candidates!$BK$2:$BK$301,0))&amp;"")</f>
        <v/>
      </c>
      <c r="G15" s="34">
        <f>IF($A15="","",INDEX(Candidates!$AV$2:$AV$301,MATCH(LARGE(Candidates!$BK$2:$BK$301,$A15),Candidates!$BK$2:$BK$301,0))&amp;"")</f>
        <v/>
      </c>
      <c r="H15" s="34">
        <f>IF($A15="","",INDEX(Candidates!$AW$2:$AW$301,MATCH(LARGE(Candidates!$BK$2:$BK$301,$A15),Candidates!$BK$2:$BK$301,0))&amp;"")</f>
        <v/>
      </c>
    </row>
    <row r="16">
      <c r="A16" s="32">
        <f>IF(ISNUMBER(LARGE(Candidates!$BK$2:$BK$301,12)),12,"")</f>
        <v/>
      </c>
      <c r="B16" s="33">
        <f>IF($A16="","",INDEX(Candidates!$AR$2:$AR$301,MATCH(LARGE(Candidates!$BK$2:$BK$301,$A16),Candidates!$BK$2:$BK$301,0))&amp;"")</f>
        <v/>
      </c>
      <c r="C16" s="34">
        <f>IF($A16="","",INDEX(Candidates!$AS$2:$AS$301,MATCH(LARGE(Candidates!$BK$2:$BK$301,$A16),Candidates!$BK$2:$BK$301,0))&amp;"")</f>
        <v/>
      </c>
      <c r="D16" s="34">
        <f>IF($A16="","",INDEX(Candidates!$AD$2:$AD$301,MATCH(LARGE(Candidates!$BK$2:$BK$301,$A16),Candidates!$BK$2:$BK$301,0))&amp;"")</f>
        <v/>
      </c>
      <c r="E16" s="32">
        <f>IF($A16="","",INDEX(Candidates!$BJ$2:$BJ$301,MATCH(LARGE(Candidates!$BK$2:$BK$301,$A16),Candidates!$BK$2:$BK$301,0)))</f>
        <v/>
      </c>
      <c r="F16" s="34">
        <f>IF($A16="","",INDEX(Candidates!$BL$2:$BL$301,MATCH(LARGE(Candidates!$BK$2:$BK$301,$A16),Candidates!$BK$2:$BK$301,0))&amp;"")</f>
        <v/>
      </c>
      <c r="G16" s="34">
        <f>IF($A16="","",INDEX(Candidates!$AV$2:$AV$301,MATCH(LARGE(Candidates!$BK$2:$BK$301,$A16),Candidates!$BK$2:$BK$301,0))&amp;"")</f>
        <v/>
      </c>
      <c r="H16" s="34">
        <f>IF($A16="","",INDEX(Candidates!$AW$2:$AW$301,MATCH(LARGE(Candidates!$BK$2:$BK$301,$A16),Candidates!$BK$2:$BK$301,0))&amp;"")</f>
        <v/>
      </c>
    </row>
    <row r="17">
      <c r="A17" s="32">
        <f>IF(ISNUMBER(LARGE(Candidates!$BK$2:$BK$301,13)),13,"")</f>
        <v/>
      </c>
      <c r="B17" s="33">
        <f>IF($A17="","",INDEX(Candidates!$AR$2:$AR$301,MATCH(LARGE(Candidates!$BK$2:$BK$301,$A17),Candidates!$BK$2:$BK$301,0))&amp;"")</f>
        <v/>
      </c>
      <c r="C17" s="34">
        <f>IF($A17="","",INDEX(Candidates!$AS$2:$AS$301,MATCH(LARGE(Candidates!$BK$2:$BK$301,$A17),Candidates!$BK$2:$BK$301,0))&amp;"")</f>
        <v/>
      </c>
      <c r="D17" s="34">
        <f>IF($A17="","",INDEX(Candidates!$AD$2:$AD$301,MATCH(LARGE(Candidates!$BK$2:$BK$301,$A17),Candidates!$BK$2:$BK$301,0))&amp;"")</f>
        <v/>
      </c>
      <c r="E17" s="32">
        <f>IF($A17="","",INDEX(Candidates!$BJ$2:$BJ$301,MATCH(LARGE(Candidates!$BK$2:$BK$301,$A17),Candidates!$BK$2:$BK$301,0)))</f>
        <v/>
      </c>
      <c r="F17" s="34">
        <f>IF($A17="","",INDEX(Candidates!$BL$2:$BL$301,MATCH(LARGE(Candidates!$BK$2:$BK$301,$A17),Candidates!$BK$2:$BK$301,0))&amp;"")</f>
        <v/>
      </c>
      <c r="G17" s="34">
        <f>IF($A17="","",INDEX(Candidates!$AV$2:$AV$301,MATCH(LARGE(Candidates!$BK$2:$BK$301,$A17),Candidates!$BK$2:$BK$301,0))&amp;"")</f>
        <v/>
      </c>
      <c r="H17" s="34">
        <f>IF($A17="","",INDEX(Candidates!$AW$2:$AW$301,MATCH(LARGE(Candidates!$BK$2:$BK$301,$A17),Candidates!$BK$2:$BK$301,0))&amp;"")</f>
        <v/>
      </c>
    </row>
    <row r="18">
      <c r="A18" s="32">
        <f>IF(ISNUMBER(LARGE(Candidates!$BK$2:$BK$301,14)),14,"")</f>
        <v/>
      </c>
      <c r="B18" s="33">
        <f>IF($A18="","",INDEX(Candidates!$AR$2:$AR$301,MATCH(LARGE(Candidates!$BK$2:$BK$301,$A18),Candidates!$BK$2:$BK$301,0))&amp;"")</f>
        <v/>
      </c>
      <c r="C18" s="34">
        <f>IF($A18="","",INDEX(Candidates!$AS$2:$AS$301,MATCH(LARGE(Candidates!$BK$2:$BK$301,$A18),Candidates!$BK$2:$BK$301,0))&amp;"")</f>
        <v/>
      </c>
      <c r="D18" s="34">
        <f>IF($A18="","",INDEX(Candidates!$AD$2:$AD$301,MATCH(LARGE(Candidates!$BK$2:$BK$301,$A18),Candidates!$BK$2:$BK$301,0))&amp;"")</f>
        <v/>
      </c>
      <c r="E18" s="32">
        <f>IF($A18="","",INDEX(Candidates!$BJ$2:$BJ$301,MATCH(LARGE(Candidates!$BK$2:$BK$301,$A18),Candidates!$BK$2:$BK$301,0)))</f>
        <v/>
      </c>
      <c r="F18" s="34">
        <f>IF($A18="","",INDEX(Candidates!$BL$2:$BL$301,MATCH(LARGE(Candidates!$BK$2:$BK$301,$A18),Candidates!$BK$2:$BK$301,0))&amp;"")</f>
        <v/>
      </c>
      <c r="G18" s="34">
        <f>IF($A18="","",INDEX(Candidates!$AV$2:$AV$301,MATCH(LARGE(Candidates!$BK$2:$BK$301,$A18),Candidates!$BK$2:$BK$301,0))&amp;"")</f>
        <v/>
      </c>
      <c r="H18" s="34">
        <f>IF($A18="","",INDEX(Candidates!$AW$2:$AW$301,MATCH(LARGE(Candidates!$BK$2:$BK$301,$A18),Candidates!$BK$2:$BK$301,0))&amp;"")</f>
        <v/>
      </c>
    </row>
    <row r="19">
      <c r="A19" s="32">
        <f>IF(ISNUMBER(LARGE(Candidates!$BK$2:$BK$301,15)),15,"")</f>
        <v/>
      </c>
      <c r="B19" s="33">
        <f>IF($A19="","",INDEX(Candidates!$AR$2:$AR$301,MATCH(LARGE(Candidates!$BK$2:$BK$301,$A19),Candidates!$BK$2:$BK$301,0))&amp;"")</f>
        <v/>
      </c>
      <c r="C19" s="34">
        <f>IF($A19="","",INDEX(Candidates!$AS$2:$AS$301,MATCH(LARGE(Candidates!$BK$2:$BK$301,$A19),Candidates!$BK$2:$BK$301,0))&amp;"")</f>
        <v/>
      </c>
      <c r="D19" s="34">
        <f>IF($A19="","",INDEX(Candidates!$AD$2:$AD$301,MATCH(LARGE(Candidates!$BK$2:$BK$301,$A19),Candidates!$BK$2:$BK$301,0))&amp;"")</f>
        <v/>
      </c>
      <c r="E19" s="32">
        <f>IF($A19="","",INDEX(Candidates!$BJ$2:$BJ$301,MATCH(LARGE(Candidates!$BK$2:$BK$301,$A19),Candidates!$BK$2:$BK$301,0)))</f>
        <v/>
      </c>
      <c r="F19" s="34">
        <f>IF($A19="","",INDEX(Candidates!$BL$2:$BL$301,MATCH(LARGE(Candidates!$BK$2:$BK$301,$A19),Candidates!$BK$2:$BK$301,0))&amp;"")</f>
        <v/>
      </c>
      <c r="G19" s="34">
        <f>IF($A19="","",INDEX(Candidates!$AV$2:$AV$301,MATCH(LARGE(Candidates!$BK$2:$BK$301,$A19),Candidates!$BK$2:$BK$301,0))&amp;"")</f>
        <v/>
      </c>
      <c r="H19" s="34">
        <f>IF($A19="","",INDEX(Candidates!$AW$2:$AW$301,MATCH(LARGE(Candidates!$BK$2:$BK$301,$A19),Candidates!$BK$2:$BK$301,0))&amp;"")</f>
        <v/>
      </c>
    </row>
    <row r="20">
      <c r="A20" s="32">
        <f>IF(ISNUMBER(LARGE(Candidates!$BK$2:$BK$301,16)),16,"")</f>
        <v/>
      </c>
      <c r="B20" s="33">
        <f>IF($A20="","",INDEX(Candidates!$AR$2:$AR$301,MATCH(LARGE(Candidates!$BK$2:$BK$301,$A20),Candidates!$BK$2:$BK$301,0))&amp;"")</f>
        <v/>
      </c>
      <c r="C20" s="34">
        <f>IF($A20="","",INDEX(Candidates!$AS$2:$AS$301,MATCH(LARGE(Candidates!$BK$2:$BK$301,$A20),Candidates!$BK$2:$BK$301,0))&amp;"")</f>
        <v/>
      </c>
      <c r="D20" s="34">
        <f>IF($A20="","",INDEX(Candidates!$AD$2:$AD$301,MATCH(LARGE(Candidates!$BK$2:$BK$301,$A20),Candidates!$BK$2:$BK$301,0))&amp;"")</f>
        <v/>
      </c>
      <c r="E20" s="32">
        <f>IF($A20="","",INDEX(Candidates!$BJ$2:$BJ$301,MATCH(LARGE(Candidates!$BK$2:$BK$301,$A20),Candidates!$BK$2:$BK$301,0)))</f>
        <v/>
      </c>
      <c r="F20" s="34">
        <f>IF($A20="","",INDEX(Candidates!$BL$2:$BL$301,MATCH(LARGE(Candidates!$BK$2:$BK$301,$A20),Candidates!$BK$2:$BK$301,0))&amp;"")</f>
        <v/>
      </c>
      <c r="G20" s="34">
        <f>IF($A20="","",INDEX(Candidates!$AV$2:$AV$301,MATCH(LARGE(Candidates!$BK$2:$BK$301,$A20),Candidates!$BK$2:$BK$301,0))&amp;"")</f>
        <v/>
      </c>
      <c r="H20" s="34">
        <f>IF($A20="","",INDEX(Candidates!$AW$2:$AW$301,MATCH(LARGE(Candidates!$BK$2:$BK$301,$A20),Candidates!$BK$2:$BK$301,0))&amp;"")</f>
        <v/>
      </c>
    </row>
    <row r="21">
      <c r="A21" s="32">
        <f>IF(ISNUMBER(LARGE(Candidates!$BK$2:$BK$301,17)),17,"")</f>
        <v/>
      </c>
      <c r="B21" s="33">
        <f>IF($A21="","",INDEX(Candidates!$AR$2:$AR$301,MATCH(LARGE(Candidates!$BK$2:$BK$301,$A21),Candidates!$BK$2:$BK$301,0))&amp;"")</f>
        <v/>
      </c>
      <c r="C21" s="34">
        <f>IF($A21="","",INDEX(Candidates!$AS$2:$AS$301,MATCH(LARGE(Candidates!$BK$2:$BK$301,$A21),Candidates!$BK$2:$BK$301,0))&amp;"")</f>
        <v/>
      </c>
      <c r="D21" s="34">
        <f>IF($A21="","",INDEX(Candidates!$AD$2:$AD$301,MATCH(LARGE(Candidates!$BK$2:$BK$301,$A21),Candidates!$BK$2:$BK$301,0))&amp;"")</f>
        <v/>
      </c>
      <c r="E21" s="32">
        <f>IF($A21="","",INDEX(Candidates!$BJ$2:$BJ$301,MATCH(LARGE(Candidates!$BK$2:$BK$301,$A21),Candidates!$BK$2:$BK$301,0)))</f>
        <v/>
      </c>
      <c r="F21" s="34">
        <f>IF($A21="","",INDEX(Candidates!$BL$2:$BL$301,MATCH(LARGE(Candidates!$BK$2:$BK$301,$A21),Candidates!$BK$2:$BK$301,0))&amp;"")</f>
        <v/>
      </c>
      <c r="G21" s="34">
        <f>IF($A21="","",INDEX(Candidates!$AV$2:$AV$301,MATCH(LARGE(Candidates!$BK$2:$BK$301,$A21),Candidates!$BK$2:$BK$301,0))&amp;"")</f>
        <v/>
      </c>
      <c r="H21" s="34">
        <f>IF($A21="","",INDEX(Candidates!$AW$2:$AW$301,MATCH(LARGE(Candidates!$BK$2:$BK$301,$A21),Candidates!$BK$2:$BK$301,0))&amp;"")</f>
        <v/>
      </c>
    </row>
    <row r="22">
      <c r="A22" s="32">
        <f>IF(ISNUMBER(LARGE(Candidates!$BK$2:$BK$301,18)),18,"")</f>
        <v/>
      </c>
      <c r="B22" s="33">
        <f>IF($A22="","",INDEX(Candidates!$AR$2:$AR$301,MATCH(LARGE(Candidates!$BK$2:$BK$301,$A22),Candidates!$BK$2:$BK$301,0))&amp;"")</f>
        <v/>
      </c>
      <c r="C22" s="34">
        <f>IF($A22="","",INDEX(Candidates!$AS$2:$AS$301,MATCH(LARGE(Candidates!$BK$2:$BK$301,$A22),Candidates!$BK$2:$BK$301,0))&amp;"")</f>
        <v/>
      </c>
      <c r="D22" s="34">
        <f>IF($A22="","",INDEX(Candidates!$AD$2:$AD$301,MATCH(LARGE(Candidates!$BK$2:$BK$301,$A22),Candidates!$BK$2:$BK$301,0))&amp;"")</f>
        <v/>
      </c>
      <c r="E22" s="32">
        <f>IF($A22="","",INDEX(Candidates!$BJ$2:$BJ$301,MATCH(LARGE(Candidates!$BK$2:$BK$301,$A22),Candidates!$BK$2:$BK$301,0)))</f>
        <v/>
      </c>
      <c r="F22" s="34">
        <f>IF($A22="","",INDEX(Candidates!$BL$2:$BL$301,MATCH(LARGE(Candidates!$BK$2:$BK$301,$A22),Candidates!$BK$2:$BK$301,0))&amp;"")</f>
        <v/>
      </c>
      <c r="G22" s="34">
        <f>IF($A22="","",INDEX(Candidates!$AV$2:$AV$301,MATCH(LARGE(Candidates!$BK$2:$BK$301,$A22),Candidates!$BK$2:$BK$301,0))&amp;"")</f>
        <v/>
      </c>
      <c r="H22" s="34">
        <f>IF($A22="","",INDEX(Candidates!$AW$2:$AW$301,MATCH(LARGE(Candidates!$BK$2:$BK$301,$A22),Candidates!$BK$2:$BK$301,0))&amp;"")</f>
        <v/>
      </c>
    </row>
    <row r="23">
      <c r="A23" s="32">
        <f>IF(ISNUMBER(LARGE(Candidates!$BK$2:$BK$301,19)),19,"")</f>
        <v/>
      </c>
      <c r="B23" s="33">
        <f>IF($A23="","",INDEX(Candidates!$AR$2:$AR$301,MATCH(LARGE(Candidates!$BK$2:$BK$301,$A23),Candidates!$BK$2:$BK$301,0))&amp;"")</f>
        <v/>
      </c>
      <c r="C23" s="34">
        <f>IF($A23="","",INDEX(Candidates!$AS$2:$AS$301,MATCH(LARGE(Candidates!$BK$2:$BK$301,$A23),Candidates!$BK$2:$BK$301,0))&amp;"")</f>
        <v/>
      </c>
      <c r="D23" s="34">
        <f>IF($A23="","",INDEX(Candidates!$AD$2:$AD$301,MATCH(LARGE(Candidates!$BK$2:$BK$301,$A23),Candidates!$BK$2:$BK$301,0))&amp;"")</f>
        <v/>
      </c>
      <c r="E23" s="32">
        <f>IF($A23="","",INDEX(Candidates!$BJ$2:$BJ$301,MATCH(LARGE(Candidates!$BK$2:$BK$301,$A23),Candidates!$BK$2:$BK$301,0)))</f>
        <v/>
      </c>
      <c r="F23" s="34">
        <f>IF($A23="","",INDEX(Candidates!$BL$2:$BL$301,MATCH(LARGE(Candidates!$BK$2:$BK$301,$A23),Candidates!$BK$2:$BK$301,0))&amp;"")</f>
        <v/>
      </c>
      <c r="G23" s="34">
        <f>IF($A23="","",INDEX(Candidates!$AV$2:$AV$301,MATCH(LARGE(Candidates!$BK$2:$BK$301,$A23),Candidates!$BK$2:$BK$301,0))&amp;"")</f>
        <v/>
      </c>
      <c r="H23" s="34">
        <f>IF($A23="","",INDEX(Candidates!$AW$2:$AW$301,MATCH(LARGE(Candidates!$BK$2:$BK$301,$A23),Candidates!$BK$2:$BK$301,0))&amp;"")</f>
        <v/>
      </c>
    </row>
    <row r="24">
      <c r="A24" s="32">
        <f>IF(ISNUMBER(LARGE(Candidates!$BK$2:$BK$301,20)),20,"")</f>
        <v/>
      </c>
      <c r="B24" s="33">
        <f>IF($A24="","",INDEX(Candidates!$AR$2:$AR$301,MATCH(LARGE(Candidates!$BK$2:$BK$301,$A24),Candidates!$BK$2:$BK$301,0))&amp;"")</f>
        <v/>
      </c>
      <c r="C24" s="34">
        <f>IF($A24="","",INDEX(Candidates!$AS$2:$AS$301,MATCH(LARGE(Candidates!$BK$2:$BK$301,$A24),Candidates!$BK$2:$BK$301,0))&amp;"")</f>
        <v/>
      </c>
      <c r="D24" s="34">
        <f>IF($A24="","",INDEX(Candidates!$AD$2:$AD$301,MATCH(LARGE(Candidates!$BK$2:$BK$301,$A24),Candidates!$BK$2:$BK$301,0))&amp;"")</f>
        <v/>
      </c>
      <c r="E24" s="32">
        <f>IF($A24="","",INDEX(Candidates!$BJ$2:$BJ$301,MATCH(LARGE(Candidates!$BK$2:$BK$301,$A24),Candidates!$BK$2:$BK$301,0)))</f>
        <v/>
      </c>
      <c r="F24" s="34">
        <f>IF($A24="","",INDEX(Candidates!$BL$2:$BL$301,MATCH(LARGE(Candidates!$BK$2:$BK$301,$A24),Candidates!$BK$2:$BK$301,0))&amp;"")</f>
        <v/>
      </c>
      <c r="G24" s="34">
        <f>IF($A24="","",INDEX(Candidates!$AV$2:$AV$301,MATCH(LARGE(Candidates!$BK$2:$BK$301,$A24),Candidates!$BK$2:$BK$301,0))&amp;"")</f>
        <v/>
      </c>
      <c r="H24" s="34">
        <f>IF($A24="","",INDEX(Candidates!$AW$2:$AW$301,MATCH(LARGE(Candidates!$BK$2:$BK$301,$A24),Candidates!$BK$2:$BK$301,0))&amp;"")</f>
        <v/>
      </c>
    </row>
    <row r="25">
      <c r="A25" s="32">
        <f>IF(ISNUMBER(LARGE(Candidates!$BK$2:$BK$301,21)),21,"")</f>
        <v/>
      </c>
      <c r="B25" s="33">
        <f>IF($A25="","",INDEX(Candidates!$AR$2:$AR$301,MATCH(LARGE(Candidates!$BK$2:$BK$301,$A25),Candidates!$BK$2:$BK$301,0))&amp;"")</f>
        <v/>
      </c>
      <c r="C25" s="34">
        <f>IF($A25="","",INDEX(Candidates!$AS$2:$AS$301,MATCH(LARGE(Candidates!$BK$2:$BK$301,$A25),Candidates!$BK$2:$BK$301,0))&amp;"")</f>
        <v/>
      </c>
      <c r="D25" s="34">
        <f>IF($A25="","",INDEX(Candidates!$AD$2:$AD$301,MATCH(LARGE(Candidates!$BK$2:$BK$301,$A25),Candidates!$BK$2:$BK$301,0))&amp;"")</f>
        <v/>
      </c>
      <c r="E25" s="32">
        <f>IF($A25="","",INDEX(Candidates!$BJ$2:$BJ$301,MATCH(LARGE(Candidates!$BK$2:$BK$301,$A25),Candidates!$BK$2:$BK$301,0)))</f>
        <v/>
      </c>
      <c r="F25" s="34">
        <f>IF($A25="","",INDEX(Candidates!$BL$2:$BL$301,MATCH(LARGE(Candidates!$BK$2:$BK$301,$A25),Candidates!$BK$2:$BK$301,0))&amp;"")</f>
        <v/>
      </c>
      <c r="G25" s="34">
        <f>IF($A25="","",INDEX(Candidates!$AV$2:$AV$301,MATCH(LARGE(Candidates!$BK$2:$BK$301,$A25),Candidates!$BK$2:$BK$301,0))&amp;"")</f>
        <v/>
      </c>
      <c r="H25" s="34">
        <f>IF($A25="","",INDEX(Candidates!$AW$2:$AW$301,MATCH(LARGE(Candidates!$BK$2:$BK$301,$A25),Candidates!$BK$2:$BK$301,0))&amp;"")</f>
        <v/>
      </c>
    </row>
    <row r="26">
      <c r="A26" s="32">
        <f>IF(ISNUMBER(LARGE(Candidates!$BK$2:$BK$301,22)),22,"")</f>
        <v/>
      </c>
      <c r="B26" s="33">
        <f>IF($A26="","",INDEX(Candidates!$AR$2:$AR$301,MATCH(LARGE(Candidates!$BK$2:$BK$301,$A26),Candidates!$BK$2:$BK$301,0))&amp;"")</f>
        <v/>
      </c>
      <c r="C26" s="34">
        <f>IF($A26="","",INDEX(Candidates!$AS$2:$AS$301,MATCH(LARGE(Candidates!$BK$2:$BK$301,$A26),Candidates!$BK$2:$BK$301,0))&amp;"")</f>
        <v/>
      </c>
      <c r="D26" s="34">
        <f>IF($A26="","",INDEX(Candidates!$AD$2:$AD$301,MATCH(LARGE(Candidates!$BK$2:$BK$301,$A26),Candidates!$BK$2:$BK$301,0))&amp;"")</f>
        <v/>
      </c>
      <c r="E26" s="32">
        <f>IF($A26="","",INDEX(Candidates!$BJ$2:$BJ$301,MATCH(LARGE(Candidates!$BK$2:$BK$301,$A26),Candidates!$BK$2:$BK$301,0)))</f>
        <v/>
      </c>
      <c r="F26" s="34">
        <f>IF($A26="","",INDEX(Candidates!$BL$2:$BL$301,MATCH(LARGE(Candidates!$BK$2:$BK$301,$A26),Candidates!$BK$2:$BK$301,0))&amp;"")</f>
        <v/>
      </c>
      <c r="G26" s="34">
        <f>IF($A26="","",INDEX(Candidates!$AV$2:$AV$301,MATCH(LARGE(Candidates!$BK$2:$BK$301,$A26),Candidates!$BK$2:$BK$301,0))&amp;"")</f>
        <v/>
      </c>
      <c r="H26" s="34">
        <f>IF($A26="","",INDEX(Candidates!$AW$2:$AW$301,MATCH(LARGE(Candidates!$BK$2:$BK$301,$A26),Candidates!$BK$2:$BK$301,0))&amp;"")</f>
        <v/>
      </c>
    </row>
    <row r="27">
      <c r="A27" s="32">
        <f>IF(ISNUMBER(LARGE(Candidates!$BK$2:$BK$301,23)),23,"")</f>
        <v/>
      </c>
      <c r="B27" s="33">
        <f>IF($A27="","",INDEX(Candidates!$AR$2:$AR$301,MATCH(LARGE(Candidates!$BK$2:$BK$301,$A27),Candidates!$BK$2:$BK$301,0))&amp;"")</f>
        <v/>
      </c>
      <c r="C27" s="34">
        <f>IF($A27="","",INDEX(Candidates!$AS$2:$AS$301,MATCH(LARGE(Candidates!$BK$2:$BK$301,$A27),Candidates!$BK$2:$BK$301,0))&amp;"")</f>
        <v/>
      </c>
      <c r="D27" s="34">
        <f>IF($A27="","",INDEX(Candidates!$AD$2:$AD$301,MATCH(LARGE(Candidates!$BK$2:$BK$301,$A27),Candidates!$BK$2:$BK$301,0))&amp;"")</f>
        <v/>
      </c>
      <c r="E27" s="32">
        <f>IF($A27="","",INDEX(Candidates!$BJ$2:$BJ$301,MATCH(LARGE(Candidates!$BK$2:$BK$301,$A27),Candidates!$BK$2:$BK$301,0)))</f>
        <v/>
      </c>
      <c r="F27" s="34">
        <f>IF($A27="","",INDEX(Candidates!$BL$2:$BL$301,MATCH(LARGE(Candidates!$BK$2:$BK$301,$A27),Candidates!$BK$2:$BK$301,0))&amp;"")</f>
        <v/>
      </c>
      <c r="G27" s="34">
        <f>IF($A27="","",INDEX(Candidates!$AV$2:$AV$301,MATCH(LARGE(Candidates!$BK$2:$BK$301,$A27),Candidates!$BK$2:$BK$301,0))&amp;"")</f>
        <v/>
      </c>
      <c r="H27" s="34">
        <f>IF($A27="","",INDEX(Candidates!$AW$2:$AW$301,MATCH(LARGE(Candidates!$BK$2:$BK$301,$A27),Candidates!$BK$2:$BK$301,0))&amp;"")</f>
        <v/>
      </c>
    </row>
    <row r="28">
      <c r="A28" s="32">
        <f>IF(ISNUMBER(LARGE(Candidates!$BK$2:$BK$301,24)),24,"")</f>
        <v/>
      </c>
      <c r="B28" s="33">
        <f>IF($A28="","",INDEX(Candidates!$AR$2:$AR$301,MATCH(LARGE(Candidates!$BK$2:$BK$301,$A28),Candidates!$BK$2:$BK$301,0))&amp;"")</f>
        <v/>
      </c>
      <c r="C28" s="34">
        <f>IF($A28="","",INDEX(Candidates!$AS$2:$AS$301,MATCH(LARGE(Candidates!$BK$2:$BK$301,$A28),Candidates!$BK$2:$BK$301,0))&amp;"")</f>
        <v/>
      </c>
      <c r="D28" s="34">
        <f>IF($A28="","",INDEX(Candidates!$AD$2:$AD$301,MATCH(LARGE(Candidates!$BK$2:$BK$301,$A28),Candidates!$BK$2:$BK$301,0))&amp;"")</f>
        <v/>
      </c>
      <c r="E28" s="32">
        <f>IF($A28="","",INDEX(Candidates!$BJ$2:$BJ$301,MATCH(LARGE(Candidates!$BK$2:$BK$301,$A28),Candidates!$BK$2:$BK$301,0)))</f>
        <v/>
      </c>
      <c r="F28" s="34">
        <f>IF($A28="","",INDEX(Candidates!$BL$2:$BL$301,MATCH(LARGE(Candidates!$BK$2:$BK$301,$A28),Candidates!$BK$2:$BK$301,0))&amp;"")</f>
        <v/>
      </c>
      <c r="G28" s="34">
        <f>IF($A28="","",INDEX(Candidates!$AV$2:$AV$301,MATCH(LARGE(Candidates!$BK$2:$BK$301,$A28),Candidates!$BK$2:$BK$301,0))&amp;"")</f>
        <v/>
      </c>
      <c r="H28" s="34">
        <f>IF($A28="","",INDEX(Candidates!$AW$2:$AW$301,MATCH(LARGE(Candidates!$BK$2:$BK$301,$A28),Candidates!$BK$2:$BK$301,0))&amp;"")</f>
        <v/>
      </c>
    </row>
    <row r="29">
      <c r="A29" s="32">
        <f>IF(ISNUMBER(LARGE(Candidates!$BK$2:$BK$301,25)),25,"")</f>
        <v/>
      </c>
      <c r="B29" s="33">
        <f>IF($A29="","",INDEX(Candidates!$AR$2:$AR$301,MATCH(LARGE(Candidates!$BK$2:$BK$301,$A29),Candidates!$BK$2:$BK$301,0))&amp;"")</f>
        <v/>
      </c>
      <c r="C29" s="34">
        <f>IF($A29="","",INDEX(Candidates!$AS$2:$AS$301,MATCH(LARGE(Candidates!$BK$2:$BK$301,$A29),Candidates!$BK$2:$BK$301,0))&amp;"")</f>
        <v/>
      </c>
      <c r="D29" s="34">
        <f>IF($A29="","",INDEX(Candidates!$AD$2:$AD$301,MATCH(LARGE(Candidates!$BK$2:$BK$301,$A29),Candidates!$BK$2:$BK$301,0))&amp;"")</f>
        <v/>
      </c>
      <c r="E29" s="32">
        <f>IF($A29="","",INDEX(Candidates!$BJ$2:$BJ$301,MATCH(LARGE(Candidates!$BK$2:$BK$301,$A29),Candidates!$BK$2:$BK$301,0)))</f>
        <v/>
      </c>
      <c r="F29" s="34">
        <f>IF($A29="","",INDEX(Candidates!$BL$2:$BL$301,MATCH(LARGE(Candidates!$BK$2:$BK$301,$A29),Candidates!$BK$2:$BK$301,0))&amp;"")</f>
        <v/>
      </c>
      <c r="G29" s="34">
        <f>IF($A29="","",INDEX(Candidates!$AV$2:$AV$301,MATCH(LARGE(Candidates!$BK$2:$BK$301,$A29),Candidates!$BK$2:$BK$301,0))&amp;"")</f>
        <v/>
      </c>
      <c r="H29" s="34">
        <f>IF($A29="","",INDEX(Candidates!$AW$2:$AW$301,MATCH(LARGE(Candidates!$BK$2:$BK$301,$A29),Candidates!$BK$2:$BK$301,0))&amp;"")</f>
        <v/>
      </c>
    </row>
    <row r="30">
      <c r="A30" s="32">
        <f>IF(ISNUMBER(LARGE(Candidates!$BK$2:$BK$301,26)),26,"")</f>
        <v/>
      </c>
      <c r="B30" s="33">
        <f>IF($A30="","",INDEX(Candidates!$AR$2:$AR$301,MATCH(LARGE(Candidates!$BK$2:$BK$301,$A30),Candidates!$BK$2:$BK$301,0))&amp;"")</f>
        <v/>
      </c>
      <c r="C30" s="34">
        <f>IF($A30="","",INDEX(Candidates!$AS$2:$AS$301,MATCH(LARGE(Candidates!$BK$2:$BK$301,$A30),Candidates!$BK$2:$BK$301,0))&amp;"")</f>
        <v/>
      </c>
      <c r="D30" s="34">
        <f>IF($A30="","",INDEX(Candidates!$AD$2:$AD$301,MATCH(LARGE(Candidates!$BK$2:$BK$301,$A30),Candidates!$BK$2:$BK$301,0))&amp;"")</f>
        <v/>
      </c>
      <c r="E30" s="32">
        <f>IF($A30="","",INDEX(Candidates!$BJ$2:$BJ$301,MATCH(LARGE(Candidates!$BK$2:$BK$301,$A30),Candidates!$BK$2:$BK$301,0)))</f>
        <v/>
      </c>
      <c r="F30" s="34">
        <f>IF($A30="","",INDEX(Candidates!$BL$2:$BL$301,MATCH(LARGE(Candidates!$BK$2:$BK$301,$A30),Candidates!$BK$2:$BK$301,0))&amp;"")</f>
        <v/>
      </c>
      <c r="G30" s="34">
        <f>IF($A30="","",INDEX(Candidates!$AV$2:$AV$301,MATCH(LARGE(Candidates!$BK$2:$BK$301,$A30),Candidates!$BK$2:$BK$301,0))&amp;"")</f>
        <v/>
      </c>
      <c r="H30" s="34">
        <f>IF($A30="","",INDEX(Candidates!$AW$2:$AW$301,MATCH(LARGE(Candidates!$BK$2:$BK$301,$A30),Candidates!$BK$2:$BK$301,0))&amp;"")</f>
        <v/>
      </c>
    </row>
    <row r="31">
      <c r="A31" s="32">
        <f>IF(ISNUMBER(LARGE(Candidates!$BK$2:$BK$301,27)),27,"")</f>
        <v/>
      </c>
      <c r="B31" s="33">
        <f>IF($A31="","",INDEX(Candidates!$AR$2:$AR$301,MATCH(LARGE(Candidates!$BK$2:$BK$301,$A31),Candidates!$BK$2:$BK$301,0))&amp;"")</f>
        <v/>
      </c>
      <c r="C31" s="34">
        <f>IF($A31="","",INDEX(Candidates!$AS$2:$AS$301,MATCH(LARGE(Candidates!$BK$2:$BK$301,$A31),Candidates!$BK$2:$BK$301,0))&amp;"")</f>
        <v/>
      </c>
      <c r="D31" s="34">
        <f>IF($A31="","",INDEX(Candidates!$AD$2:$AD$301,MATCH(LARGE(Candidates!$BK$2:$BK$301,$A31),Candidates!$BK$2:$BK$301,0))&amp;"")</f>
        <v/>
      </c>
      <c r="E31" s="32">
        <f>IF($A31="","",INDEX(Candidates!$BJ$2:$BJ$301,MATCH(LARGE(Candidates!$BK$2:$BK$301,$A31),Candidates!$BK$2:$BK$301,0)))</f>
        <v/>
      </c>
      <c r="F31" s="34">
        <f>IF($A31="","",INDEX(Candidates!$BL$2:$BL$301,MATCH(LARGE(Candidates!$BK$2:$BK$301,$A31),Candidates!$BK$2:$BK$301,0))&amp;"")</f>
        <v/>
      </c>
      <c r="G31" s="34">
        <f>IF($A31="","",INDEX(Candidates!$AV$2:$AV$301,MATCH(LARGE(Candidates!$BK$2:$BK$301,$A31),Candidates!$BK$2:$BK$301,0))&amp;"")</f>
        <v/>
      </c>
      <c r="H31" s="34">
        <f>IF($A31="","",INDEX(Candidates!$AW$2:$AW$301,MATCH(LARGE(Candidates!$BK$2:$BK$301,$A31),Candidates!$BK$2:$BK$301,0))&amp;"")</f>
        <v/>
      </c>
    </row>
    <row r="32">
      <c r="A32" s="32">
        <f>IF(ISNUMBER(LARGE(Candidates!$BK$2:$BK$301,28)),28,"")</f>
        <v/>
      </c>
      <c r="B32" s="33">
        <f>IF($A32="","",INDEX(Candidates!$AR$2:$AR$301,MATCH(LARGE(Candidates!$BK$2:$BK$301,$A32),Candidates!$BK$2:$BK$301,0))&amp;"")</f>
        <v/>
      </c>
      <c r="C32" s="34">
        <f>IF($A32="","",INDEX(Candidates!$AS$2:$AS$301,MATCH(LARGE(Candidates!$BK$2:$BK$301,$A32),Candidates!$BK$2:$BK$301,0))&amp;"")</f>
        <v/>
      </c>
      <c r="D32" s="34">
        <f>IF($A32="","",INDEX(Candidates!$AD$2:$AD$301,MATCH(LARGE(Candidates!$BK$2:$BK$301,$A32),Candidates!$BK$2:$BK$301,0))&amp;"")</f>
        <v/>
      </c>
      <c r="E32" s="32">
        <f>IF($A32="","",INDEX(Candidates!$BJ$2:$BJ$301,MATCH(LARGE(Candidates!$BK$2:$BK$301,$A32),Candidates!$BK$2:$BK$301,0)))</f>
        <v/>
      </c>
      <c r="F32" s="34">
        <f>IF($A32="","",INDEX(Candidates!$BL$2:$BL$301,MATCH(LARGE(Candidates!$BK$2:$BK$301,$A32),Candidates!$BK$2:$BK$301,0))&amp;"")</f>
        <v/>
      </c>
      <c r="G32" s="34">
        <f>IF($A32="","",INDEX(Candidates!$AV$2:$AV$301,MATCH(LARGE(Candidates!$BK$2:$BK$301,$A32),Candidates!$BK$2:$BK$301,0))&amp;"")</f>
        <v/>
      </c>
      <c r="H32" s="34">
        <f>IF($A32="","",INDEX(Candidates!$AW$2:$AW$301,MATCH(LARGE(Candidates!$BK$2:$BK$301,$A32),Candidates!$BK$2:$BK$301,0))&amp;"")</f>
        <v/>
      </c>
    </row>
    <row r="33">
      <c r="A33" s="32">
        <f>IF(ISNUMBER(LARGE(Candidates!$BK$2:$BK$301,29)),29,"")</f>
        <v/>
      </c>
      <c r="B33" s="33">
        <f>IF($A33="","",INDEX(Candidates!$AR$2:$AR$301,MATCH(LARGE(Candidates!$BK$2:$BK$301,$A33),Candidates!$BK$2:$BK$301,0))&amp;"")</f>
        <v/>
      </c>
      <c r="C33" s="34">
        <f>IF($A33="","",INDEX(Candidates!$AS$2:$AS$301,MATCH(LARGE(Candidates!$BK$2:$BK$301,$A33),Candidates!$BK$2:$BK$301,0))&amp;"")</f>
        <v/>
      </c>
      <c r="D33" s="34">
        <f>IF($A33="","",INDEX(Candidates!$AD$2:$AD$301,MATCH(LARGE(Candidates!$BK$2:$BK$301,$A33),Candidates!$BK$2:$BK$301,0))&amp;"")</f>
        <v/>
      </c>
      <c r="E33" s="32">
        <f>IF($A33="","",INDEX(Candidates!$BJ$2:$BJ$301,MATCH(LARGE(Candidates!$BK$2:$BK$301,$A33),Candidates!$BK$2:$BK$301,0)))</f>
        <v/>
      </c>
      <c r="F33" s="34">
        <f>IF($A33="","",INDEX(Candidates!$BL$2:$BL$301,MATCH(LARGE(Candidates!$BK$2:$BK$301,$A33),Candidates!$BK$2:$BK$301,0))&amp;"")</f>
        <v/>
      </c>
      <c r="G33" s="34">
        <f>IF($A33="","",INDEX(Candidates!$AV$2:$AV$301,MATCH(LARGE(Candidates!$BK$2:$BK$301,$A33),Candidates!$BK$2:$BK$301,0))&amp;"")</f>
        <v/>
      </c>
      <c r="H33" s="34">
        <f>IF($A33="","",INDEX(Candidates!$AW$2:$AW$301,MATCH(LARGE(Candidates!$BK$2:$BK$301,$A33),Candidates!$BK$2:$BK$301,0))&amp;"")</f>
        <v/>
      </c>
    </row>
    <row r="34">
      <c r="A34" s="32">
        <f>IF(ISNUMBER(LARGE(Candidates!$BK$2:$BK$301,30)),30,"")</f>
        <v/>
      </c>
      <c r="B34" s="33">
        <f>IF($A34="","",INDEX(Candidates!$AR$2:$AR$301,MATCH(LARGE(Candidates!$BK$2:$BK$301,$A34),Candidates!$BK$2:$BK$301,0))&amp;"")</f>
        <v/>
      </c>
      <c r="C34" s="34">
        <f>IF($A34="","",INDEX(Candidates!$AS$2:$AS$301,MATCH(LARGE(Candidates!$BK$2:$BK$301,$A34),Candidates!$BK$2:$BK$301,0))&amp;"")</f>
        <v/>
      </c>
      <c r="D34" s="34">
        <f>IF($A34="","",INDEX(Candidates!$AD$2:$AD$301,MATCH(LARGE(Candidates!$BK$2:$BK$301,$A34),Candidates!$BK$2:$BK$301,0))&amp;"")</f>
        <v/>
      </c>
      <c r="E34" s="32">
        <f>IF($A34="","",INDEX(Candidates!$BJ$2:$BJ$301,MATCH(LARGE(Candidates!$BK$2:$BK$301,$A34),Candidates!$BK$2:$BK$301,0)))</f>
        <v/>
      </c>
      <c r="F34" s="34">
        <f>IF($A34="","",INDEX(Candidates!$BL$2:$BL$301,MATCH(LARGE(Candidates!$BK$2:$BK$301,$A34),Candidates!$BK$2:$BK$301,0))&amp;"")</f>
        <v/>
      </c>
      <c r="G34" s="34">
        <f>IF($A34="","",INDEX(Candidates!$AV$2:$AV$301,MATCH(LARGE(Candidates!$BK$2:$BK$301,$A34),Candidates!$BK$2:$BK$301,0))&amp;"")</f>
        <v/>
      </c>
      <c r="H34" s="34">
        <f>IF($A34="","",INDEX(Candidates!$AW$2:$AW$301,MATCH(LARGE(Candidates!$BK$2:$BK$301,$A34),Candidates!$BK$2:$BK$301,0))&amp;"")</f>
        <v/>
      </c>
    </row>
    <row r="35">
      <c r="A35" s="32">
        <f>IF(ISNUMBER(LARGE(Candidates!$BK$2:$BK$301,31)),31,"")</f>
        <v/>
      </c>
      <c r="B35" s="33">
        <f>IF($A35="","",INDEX(Candidates!$AR$2:$AR$301,MATCH(LARGE(Candidates!$BK$2:$BK$301,$A35),Candidates!$BK$2:$BK$301,0))&amp;"")</f>
        <v/>
      </c>
      <c r="C35" s="34">
        <f>IF($A35="","",INDEX(Candidates!$AS$2:$AS$301,MATCH(LARGE(Candidates!$BK$2:$BK$301,$A35),Candidates!$BK$2:$BK$301,0))&amp;"")</f>
        <v/>
      </c>
      <c r="D35" s="34">
        <f>IF($A35="","",INDEX(Candidates!$AD$2:$AD$301,MATCH(LARGE(Candidates!$BK$2:$BK$301,$A35),Candidates!$BK$2:$BK$301,0))&amp;"")</f>
        <v/>
      </c>
      <c r="E35" s="32">
        <f>IF($A35="","",INDEX(Candidates!$BJ$2:$BJ$301,MATCH(LARGE(Candidates!$BK$2:$BK$301,$A35),Candidates!$BK$2:$BK$301,0)))</f>
        <v/>
      </c>
      <c r="F35" s="34">
        <f>IF($A35="","",INDEX(Candidates!$BL$2:$BL$301,MATCH(LARGE(Candidates!$BK$2:$BK$301,$A35),Candidates!$BK$2:$BK$301,0))&amp;"")</f>
        <v/>
      </c>
      <c r="G35" s="34">
        <f>IF($A35="","",INDEX(Candidates!$AV$2:$AV$301,MATCH(LARGE(Candidates!$BK$2:$BK$301,$A35),Candidates!$BK$2:$BK$301,0))&amp;"")</f>
        <v/>
      </c>
      <c r="H35" s="34">
        <f>IF($A35="","",INDEX(Candidates!$AW$2:$AW$301,MATCH(LARGE(Candidates!$BK$2:$BK$301,$A35),Candidates!$BK$2:$BK$301,0))&amp;"")</f>
        <v/>
      </c>
    </row>
    <row r="36">
      <c r="A36" s="32">
        <f>IF(ISNUMBER(LARGE(Candidates!$BK$2:$BK$301,32)),32,"")</f>
        <v/>
      </c>
      <c r="B36" s="33">
        <f>IF($A36="","",INDEX(Candidates!$AR$2:$AR$301,MATCH(LARGE(Candidates!$BK$2:$BK$301,$A36),Candidates!$BK$2:$BK$301,0))&amp;"")</f>
        <v/>
      </c>
      <c r="C36" s="34">
        <f>IF($A36="","",INDEX(Candidates!$AS$2:$AS$301,MATCH(LARGE(Candidates!$BK$2:$BK$301,$A36),Candidates!$BK$2:$BK$301,0))&amp;"")</f>
        <v/>
      </c>
      <c r="D36" s="34">
        <f>IF($A36="","",INDEX(Candidates!$AD$2:$AD$301,MATCH(LARGE(Candidates!$BK$2:$BK$301,$A36),Candidates!$BK$2:$BK$301,0))&amp;"")</f>
        <v/>
      </c>
      <c r="E36" s="32">
        <f>IF($A36="","",INDEX(Candidates!$BJ$2:$BJ$301,MATCH(LARGE(Candidates!$BK$2:$BK$301,$A36),Candidates!$BK$2:$BK$301,0)))</f>
        <v/>
      </c>
      <c r="F36" s="34">
        <f>IF($A36="","",INDEX(Candidates!$BL$2:$BL$301,MATCH(LARGE(Candidates!$BK$2:$BK$301,$A36),Candidates!$BK$2:$BK$301,0))&amp;"")</f>
        <v/>
      </c>
      <c r="G36" s="34">
        <f>IF($A36="","",INDEX(Candidates!$AV$2:$AV$301,MATCH(LARGE(Candidates!$BK$2:$BK$301,$A36),Candidates!$BK$2:$BK$301,0))&amp;"")</f>
        <v/>
      </c>
      <c r="H36" s="34">
        <f>IF($A36="","",INDEX(Candidates!$AW$2:$AW$301,MATCH(LARGE(Candidates!$BK$2:$BK$301,$A36),Candidates!$BK$2:$BK$301,0))&amp;"")</f>
        <v/>
      </c>
    </row>
    <row r="37">
      <c r="A37" s="32">
        <f>IF(ISNUMBER(LARGE(Candidates!$BK$2:$BK$301,33)),33,"")</f>
        <v/>
      </c>
      <c r="B37" s="33">
        <f>IF($A37="","",INDEX(Candidates!$AR$2:$AR$301,MATCH(LARGE(Candidates!$BK$2:$BK$301,$A37),Candidates!$BK$2:$BK$301,0))&amp;"")</f>
        <v/>
      </c>
      <c r="C37" s="34">
        <f>IF($A37="","",INDEX(Candidates!$AS$2:$AS$301,MATCH(LARGE(Candidates!$BK$2:$BK$301,$A37),Candidates!$BK$2:$BK$301,0))&amp;"")</f>
        <v/>
      </c>
      <c r="D37" s="34">
        <f>IF($A37="","",INDEX(Candidates!$AD$2:$AD$301,MATCH(LARGE(Candidates!$BK$2:$BK$301,$A37),Candidates!$BK$2:$BK$301,0))&amp;"")</f>
        <v/>
      </c>
      <c r="E37" s="32">
        <f>IF($A37="","",INDEX(Candidates!$BJ$2:$BJ$301,MATCH(LARGE(Candidates!$BK$2:$BK$301,$A37),Candidates!$BK$2:$BK$301,0)))</f>
        <v/>
      </c>
      <c r="F37" s="34">
        <f>IF($A37="","",INDEX(Candidates!$BL$2:$BL$301,MATCH(LARGE(Candidates!$BK$2:$BK$301,$A37),Candidates!$BK$2:$BK$301,0))&amp;"")</f>
        <v/>
      </c>
      <c r="G37" s="34">
        <f>IF($A37="","",INDEX(Candidates!$AV$2:$AV$301,MATCH(LARGE(Candidates!$BK$2:$BK$301,$A37),Candidates!$BK$2:$BK$301,0))&amp;"")</f>
        <v/>
      </c>
      <c r="H37" s="34">
        <f>IF($A37="","",INDEX(Candidates!$AW$2:$AW$301,MATCH(LARGE(Candidates!$BK$2:$BK$301,$A37),Candidates!$BK$2:$BK$301,0))&amp;"")</f>
        <v/>
      </c>
    </row>
    <row r="38">
      <c r="A38" s="32">
        <f>IF(ISNUMBER(LARGE(Candidates!$BK$2:$BK$301,34)),34,"")</f>
        <v/>
      </c>
      <c r="B38" s="33">
        <f>IF($A38="","",INDEX(Candidates!$AR$2:$AR$301,MATCH(LARGE(Candidates!$BK$2:$BK$301,$A38),Candidates!$BK$2:$BK$301,0))&amp;"")</f>
        <v/>
      </c>
      <c r="C38" s="34">
        <f>IF($A38="","",INDEX(Candidates!$AS$2:$AS$301,MATCH(LARGE(Candidates!$BK$2:$BK$301,$A38),Candidates!$BK$2:$BK$301,0))&amp;"")</f>
        <v/>
      </c>
      <c r="D38" s="34">
        <f>IF($A38="","",INDEX(Candidates!$AD$2:$AD$301,MATCH(LARGE(Candidates!$BK$2:$BK$301,$A38),Candidates!$BK$2:$BK$301,0))&amp;"")</f>
        <v/>
      </c>
      <c r="E38" s="32">
        <f>IF($A38="","",INDEX(Candidates!$BJ$2:$BJ$301,MATCH(LARGE(Candidates!$BK$2:$BK$301,$A38),Candidates!$BK$2:$BK$301,0)))</f>
        <v/>
      </c>
      <c r="F38" s="34">
        <f>IF($A38="","",INDEX(Candidates!$BL$2:$BL$301,MATCH(LARGE(Candidates!$BK$2:$BK$301,$A38),Candidates!$BK$2:$BK$301,0))&amp;"")</f>
        <v/>
      </c>
      <c r="G38" s="34">
        <f>IF($A38="","",INDEX(Candidates!$AV$2:$AV$301,MATCH(LARGE(Candidates!$BK$2:$BK$301,$A38),Candidates!$BK$2:$BK$301,0))&amp;"")</f>
        <v/>
      </c>
      <c r="H38" s="34">
        <f>IF($A38="","",INDEX(Candidates!$AW$2:$AW$301,MATCH(LARGE(Candidates!$BK$2:$BK$301,$A38),Candidates!$BK$2:$BK$301,0))&amp;"")</f>
        <v/>
      </c>
    </row>
    <row r="39">
      <c r="A39" s="32">
        <f>IF(ISNUMBER(LARGE(Candidates!$BK$2:$BK$301,35)),35,"")</f>
        <v/>
      </c>
      <c r="B39" s="33">
        <f>IF($A39="","",INDEX(Candidates!$AR$2:$AR$301,MATCH(LARGE(Candidates!$BK$2:$BK$301,$A39),Candidates!$BK$2:$BK$301,0))&amp;"")</f>
        <v/>
      </c>
      <c r="C39" s="34">
        <f>IF($A39="","",INDEX(Candidates!$AS$2:$AS$301,MATCH(LARGE(Candidates!$BK$2:$BK$301,$A39),Candidates!$BK$2:$BK$301,0))&amp;"")</f>
        <v/>
      </c>
      <c r="D39" s="34">
        <f>IF($A39="","",INDEX(Candidates!$AD$2:$AD$301,MATCH(LARGE(Candidates!$BK$2:$BK$301,$A39),Candidates!$BK$2:$BK$301,0))&amp;"")</f>
        <v/>
      </c>
      <c r="E39" s="32">
        <f>IF($A39="","",INDEX(Candidates!$BJ$2:$BJ$301,MATCH(LARGE(Candidates!$BK$2:$BK$301,$A39),Candidates!$BK$2:$BK$301,0)))</f>
        <v/>
      </c>
      <c r="F39" s="34">
        <f>IF($A39="","",INDEX(Candidates!$BL$2:$BL$301,MATCH(LARGE(Candidates!$BK$2:$BK$301,$A39),Candidates!$BK$2:$BK$301,0))&amp;"")</f>
        <v/>
      </c>
      <c r="G39" s="34">
        <f>IF($A39="","",INDEX(Candidates!$AV$2:$AV$301,MATCH(LARGE(Candidates!$BK$2:$BK$301,$A39),Candidates!$BK$2:$BK$301,0))&amp;"")</f>
        <v/>
      </c>
      <c r="H39" s="34">
        <f>IF($A39="","",INDEX(Candidates!$AW$2:$AW$301,MATCH(LARGE(Candidates!$BK$2:$BK$301,$A39),Candidates!$BK$2:$BK$301,0))&amp;"")</f>
        <v/>
      </c>
    </row>
    <row r="40">
      <c r="A40" s="32">
        <f>IF(ISNUMBER(LARGE(Candidates!$BK$2:$BK$301,36)),36,"")</f>
        <v/>
      </c>
      <c r="B40" s="33">
        <f>IF($A40="","",INDEX(Candidates!$AR$2:$AR$301,MATCH(LARGE(Candidates!$BK$2:$BK$301,$A40),Candidates!$BK$2:$BK$301,0))&amp;"")</f>
        <v/>
      </c>
      <c r="C40" s="34">
        <f>IF($A40="","",INDEX(Candidates!$AS$2:$AS$301,MATCH(LARGE(Candidates!$BK$2:$BK$301,$A40),Candidates!$BK$2:$BK$301,0))&amp;"")</f>
        <v/>
      </c>
      <c r="D40" s="34">
        <f>IF($A40="","",INDEX(Candidates!$AD$2:$AD$301,MATCH(LARGE(Candidates!$BK$2:$BK$301,$A40),Candidates!$BK$2:$BK$301,0))&amp;"")</f>
        <v/>
      </c>
      <c r="E40" s="32">
        <f>IF($A40="","",INDEX(Candidates!$BJ$2:$BJ$301,MATCH(LARGE(Candidates!$BK$2:$BK$301,$A40),Candidates!$BK$2:$BK$301,0)))</f>
        <v/>
      </c>
      <c r="F40" s="34">
        <f>IF($A40="","",INDEX(Candidates!$BL$2:$BL$301,MATCH(LARGE(Candidates!$BK$2:$BK$301,$A40),Candidates!$BK$2:$BK$301,0))&amp;"")</f>
        <v/>
      </c>
      <c r="G40" s="34">
        <f>IF($A40="","",INDEX(Candidates!$AV$2:$AV$301,MATCH(LARGE(Candidates!$BK$2:$BK$301,$A40),Candidates!$BK$2:$BK$301,0))&amp;"")</f>
        <v/>
      </c>
      <c r="H40" s="34">
        <f>IF($A40="","",INDEX(Candidates!$AW$2:$AW$301,MATCH(LARGE(Candidates!$BK$2:$BK$301,$A40),Candidates!$BK$2:$BK$301,0))&amp;"")</f>
        <v/>
      </c>
    </row>
    <row r="41">
      <c r="A41" s="32">
        <f>IF(ISNUMBER(LARGE(Candidates!$BK$2:$BK$301,37)),37,"")</f>
        <v/>
      </c>
      <c r="B41" s="33">
        <f>IF($A41="","",INDEX(Candidates!$AR$2:$AR$301,MATCH(LARGE(Candidates!$BK$2:$BK$301,$A41),Candidates!$BK$2:$BK$301,0))&amp;"")</f>
        <v/>
      </c>
      <c r="C41" s="34">
        <f>IF($A41="","",INDEX(Candidates!$AS$2:$AS$301,MATCH(LARGE(Candidates!$BK$2:$BK$301,$A41),Candidates!$BK$2:$BK$301,0))&amp;"")</f>
        <v/>
      </c>
      <c r="D41" s="34">
        <f>IF($A41="","",INDEX(Candidates!$AD$2:$AD$301,MATCH(LARGE(Candidates!$BK$2:$BK$301,$A41),Candidates!$BK$2:$BK$301,0))&amp;"")</f>
        <v/>
      </c>
      <c r="E41" s="32">
        <f>IF($A41="","",INDEX(Candidates!$BJ$2:$BJ$301,MATCH(LARGE(Candidates!$BK$2:$BK$301,$A41),Candidates!$BK$2:$BK$301,0)))</f>
        <v/>
      </c>
      <c r="F41" s="34">
        <f>IF($A41="","",INDEX(Candidates!$BL$2:$BL$301,MATCH(LARGE(Candidates!$BK$2:$BK$301,$A41),Candidates!$BK$2:$BK$301,0))&amp;"")</f>
        <v/>
      </c>
      <c r="G41" s="34">
        <f>IF($A41="","",INDEX(Candidates!$AV$2:$AV$301,MATCH(LARGE(Candidates!$BK$2:$BK$301,$A41),Candidates!$BK$2:$BK$301,0))&amp;"")</f>
        <v/>
      </c>
      <c r="H41" s="34">
        <f>IF($A41="","",INDEX(Candidates!$AW$2:$AW$301,MATCH(LARGE(Candidates!$BK$2:$BK$301,$A41),Candidates!$BK$2:$BK$301,0))&amp;"")</f>
        <v/>
      </c>
    </row>
    <row r="42">
      <c r="A42" s="32">
        <f>IF(ISNUMBER(LARGE(Candidates!$BK$2:$BK$301,38)),38,"")</f>
        <v/>
      </c>
      <c r="B42" s="33">
        <f>IF($A42="","",INDEX(Candidates!$AR$2:$AR$301,MATCH(LARGE(Candidates!$BK$2:$BK$301,$A42),Candidates!$BK$2:$BK$301,0))&amp;"")</f>
        <v/>
      </c>
      <c r="C42" s="34">
        <f>IF($A42="","",INDEX(Candidates!$AS$2:$AS$301,MATCH(LARGE(Candidates!$BK$2:$BK$301,$A42),Candidates!$BK$2:$BK$301,0))&amp;"")</f>
        <v/>
      </c>
      <c r="D42" s="34">
        <f>IF($A42="","",INDEX(Candidates!$AD$2:$AD$301,MATCH(LARGE(Candidates!$BK$2:$BK$301,$A42),Candidates!$BK$2:$BK$301,0))&amp;"")</f>
        <v/>
      </c>
      <c r="E42" s="32">
        <f>IF($A42="","",INDEX(Candidates!$BJ$2:$BJ$301,MATCH(LARGE(Candidates!$BK$2:$BK$301,$A42),Candidates!$BK$2:$BK$301,0)))</f>
        <v/>
      </c>
      <c r="F42" s="34">
        <f>IF($A42="","",INDEX(Candidates!$BL$2:$BL$301,MATCH(LARGE(Candidates!$BK$2:$BK$301,$A42),Candidates!$BK$2:$BK$301,0))&amp;"")</f>
        <v/>
      </c>
      <c r="G42" s="34">
        <f>IF($A42="","",INDEX(Candidates!$AV$2:$AV$301,MATCH(LARGE(Candidates!$BK$2:$BK$301,$A42),Candidates!$BK$2:$BK$301,0))&amp;"")</f>
        <v/>
      </c>
      <c r="H42" s="34">
        <f>IF($A42="","",INDEX(Candidates!$AW$2:$AW$301,MATCH(LARGE(Candidates!$BK$2:$BK$301,$A42),Candidates!$BK$2:$BK$301,0))&amp;"")</f>
        <v/>
      </c>
    </row>
    <row r="43">
      <c r="A43" s="32">
        <f>IF(ISNUMBER(LARGE(Candidates!$BK$2:$BK$301,39)),39,"")</f>
        <v/>
      </c>
      <c r="B43" s="33">
        <f>IF($A43="","",INDEX(Candidates!$AR$2:$AR$301,MATCH(LARGE(Candidates!$BK$2:$BK$301,$A43),Candidates!$BK$2:$BK$301,0))&amp;"")</f>
        <v/>
      </c>
      <c r="C43" s="34">
        <f>IF($A43="","",INDEX(Candidates!$AS$2:$AS$301,MATCH(LARGE(Candidates!$BK$2:$BK$301,$A43),Candidates!$BK$2:$BK$301,0))&amp;"")</f>
        <v/>
      </c>
      <c r="D43" s="34">
        <f>IF($A43="","",INDEX(Candidates!$AD$2:$AD$301,MATCH(LARGE(Candidates!$BK$2:$BK$301,$A43),Candidates!$BK$2:$BK$301,0))&amp;"")</f>
        <v/>
      </c>
      <c r="E43" s="32">
        <f>IF($A43="","",INDEX(Candidates!$BJ$2:$BJ$301,MATCH(LARGE(Candidates!$BK$2:$BK$301,$A43),Candidates!$BK$2:$BK$301,0)))</f>
        <v/>
      </c>
      <c r="F43" s="34">
        <f>IF($A43="","",INDEX(Candidates!$BL$2:$BL$301,MATCH(LARGE(Candidates!$BK$2:$BK$301,$A43),Candidates!$BK$2:$BK$301,0))&amp;"")</f>
        <v/>
      </c>
      <c r="G43" s="34">
        <f>IF($A43="","",INDEX(Candidates!$AV$2:$AV$301,MATCH(LARGE(Candidates!$BK$2:$BK$301,$A43),Candidates!$BK$2:$BK$301,0))&amp;"")</f>
        <v/>
      </c>
      <c r="H43" s="34">
        <f>IF($A43="","",INDEX(Candidates!$AW$2:$AW$301,MATCH(LARGE(Candidates!$BK$2:$BK$301,$A43),Candidates!$BK$2:$BK$301,0))&amp;"")</f>
        <v/>
      </c>
    </row>
    <row r="44">
      <c r="A44" s="32">
        <f>IF(ISNUMBER(LARGE(Candidates!$BK$2:$BK$301,40)),40,"")</f>
        <v/>
      </c>
      <c r="B44" s="33">
        <f>IF($A44="","",INDEX(Candidates!$AR$2:$AR$301,MATCH(LARGE(Candidates!$BK$2:$BK$301,$A44),Candidates!$BK$2:$BK$301,0))&amp;"")</f>
        <v/>
      </c>
      <c r="C44" s="34">
        <f>IF($A44="","",INDEX(Candidates!$AS$2:$AS$301,MATCH(LARGE(Candidates!$BK$2:$BK$301,$A44),Candidates!$BK$2:$BK$301,0))&amp;"")</f>
        <v/>
      </c>
      <c r="D44" s="34">
        <f>IF($A44="","",INDEX(Candidates!$AD$2:$AD$301,MATCH(LARGE(Candidates!$BK$2:$BK$301,$A44),Candidates!$BK$2:$BK$301,0))&amp;"")</f>
        <v/>
      </c>
      <c r="E44" s="32">
        <f>IF($A44="","",INDEX(Candidates!$BJ$2:$BJ$301,MATCH(LARGE(Candidates!$BK$2:$BK$301,$A44),Candidates!$BK$2:$BK$301,0)))</f>
        <v/>
      </c>
      <c r="F44" s="34">
        <f>IF($A44="","",INDEX(Candidates!$BL$2:$BL$301,MATCH(LARGE(Candidates!$BK$2:$BK$301,$A44),Candidates!$BK$2:$BK$301,0))&amp;"")</f>
        <v/>
      </c>
      <c r="G44" s="34">
        <f>IF($A44="","",INDEX(Candidates!$AV$2:$AV$301,MATCH(LARGE(Candidates!$BK$2:$BK$301,$A44),Candidates!$BK$2:$BK$301,0))&amp;"")</f>
        <v/>
      </c>
      <c r="H44" s="34">
        <f>IF($A44="","",INDEX(Candidates!$AW$2:$AW$301,MATCH(LARGE(Candidates!$BK$2:$BK$301,$A44),Candidates!$BK$2:$BK$301,0))&amp;"")</f>
        <v/>
      </c>
    </row>
    <row r="45">
      <c r="A45" s="32">
        <f>IF(ISNUMBER(LARGE(Candidates!$BK$2:$BK$301,41)),41,"")</f>
        <v/>
      </c>
      <c r="B45" s="33">
        <f>IF($A45="","",INDEX(Candidates!$AR$2:$AR$301,MATCH(LARGE(Candidates!$BK$2:$BK$301,$A45),Candidates!$BK$2:$BK$301,0))&amp;"")</f>
        <v/>
      </c>
      <c r="C45" s="34">
        <f>IF($A45="","",INDEX(Candidates!$AS$2:$AS$301,MATCH(LARGE(Candidates!$BK$2:$BK$301,$A45),Candidates!$BK$2:$BK$301,0))&amp;"")</f>
        <v/>
      </c>
      <c r="D45" s="34">
        <f>IF($A45="","",INDEX(Candidates!$AD$2:$AD$301,MATCH(LARGE(Candidates!$BK$2:$BK$301,$A45),Candidates!$BK$2:$BK$301,0))&amp;"")</f>
        <v/>
      </c>
      <c r="E45" s="32">
        <f>IF($A45="","",INDEX(Candidates!$BJ$2:$BJ$301,MATCH(LARGE(Candidates!$BK$2:$BK$301,$A45),Candidates!$BK$2:$BK$301,0)))</f>
        <v/>
      </c>
      <c r="F45" s="34">
        <f>IF($A45="","",INDEX(Candidates!$BL$2:$BL$301,MATCH(LARGE(Candidates!$BK$2:$BK$301,$A45),Candidates!$BK$2:$BK$301,0))&amp;"")</f>
        <v/>
      </c>
      <c r="G45" s="34">
        <f>IF($A45="","",INDEX(Candidates!$AV$2:$AV$301,MATCH(LARGE(Candidates!$BK$2:$BK$301,$A45),Candidates!$BK$2:$BK$301,0))&amp;"")</f>
        <v/>
      </c>
      <c r="H45" s="34">
        <f>IF($A45="","",INDEX(Candidates!$AW$2:$AW$301,MATCH(LARGE(Candidates!$BK$2:$BK$301,$A45),Candidates!$BK$2:$BK$301,0))&amp;"")</f>
        <v/>
      </c>
    </row>
    <row r="46">
      <c r="A46" s="32">
        <f>IF(ISNUMBER(LARGE(Candidates!$BK$2:$BK$301,42)),42,"")</f>
        <v/>
      </c>
      <c r="B46" s="33">
        <f>IF($A46="","",INDEX(Candidates!$AR$2:$AR$301,MATCH(LARGE(Candidates!$BK$2:$BK$301,$A46),Candidates!$BK$2:$BK$301,0))&amp;"")</f>
        <v/>
      </c>
      <c r="C46" s="34">
        <f>IF($A46="","",INDEX(Candidates!$AS$2:$AS$301,MATCH(LARGE(Candidates!$BK$2:$BK$301,$A46),Candidates!$BK$2:$BK$301,0))&amp;"")</f>
        <v/>
      </c>
      <c r="D46" s="34">
        <f>IF($A46="","",INDEX(Candidates!$AD$2:$AD$301,MATCH(LARGE(Candidates!$BK$2:$BK$301,$A46),Candidates!$BK$2:$BK$301,0))&amp;"")</f>
        <v/>
      </c>
      <c r="E46" s="32">
        <f>IF($A46="","",INDEX(Candidates!$BJ$2:$BJ$301,MATCH(LARGE(Candidates!$BK$2:$BK$301,$A46),Candidates!$BK$2:$BK$301,0)))</f>
        <v/>
      </c>
      <c r="F46" s="34">
        <f>IF($A46="","",INDEX(Candidates!$BL$2:$BL$301,MATCH(LARGE(Candidates!$BK$2:$BK$301,$A46),Candidates!$BK$2:$BK$301,0))&amp;"")</f>
        <v/>
      </c>
      <c r="G46" s="34">
        <f>IF($A46="","",INDEX(Candidates!$AV$2:$AV$301,MATCH(LARGE(Candidates!$BK$2:$BK$301,$A46),Candidates!$BK$2:$BK$301,0))&amp;"")</f>
        <v/>
      </c>
      <c r="H46" s="34">
        <f>IF($A46="","",INDEX(Candidates!$AW$2:$AW$301,MATCH(LARGE(Candidates!$BK$2:$BK$301,$A46),Candidates!$BK$2:$BK$301,0))&amp;"")</f>
        <v/>
      </c>
    </row>
    <row r="47">
      <c r="A47" s="32">
        <f>IF(ISNUMBER(LARGE(Candidates!$BK$2:$BK$301,43)),43,"")</f>
        <v/>
      </c>
      <c r="B47" s="33">
        <f>IF($A47="","",INDEX(Candidates!$AR$2:$AR$301,MATCH(LARGE(Candidates!$BK$2:$BK$301,$A47),Candidates!$BK$2:$BK$301,0))&amp;"")</f>
        <v/>
      </c>
      <c r="C47" s="34">
        <f>IF($A47="","",INDEX(Candidates!$AS$2:$AS$301,MATCH(LARGE(Candidates!$BK$2:$BK$301,$A47),Candidates!$BK$2:$BK$301,0))&amp;"")</f>
        <v/>
      </c>
      <c r="D47" s="34">
        <f>IF($A47="","",INDEX(Candidates!$AD$2:$AD$301,MATCH(LARGE(Candidates!$BK$2:$BK$301,$A47),Candidates!$BK$2:$BK$301,0))&amp;"")</f>
        <v/>
      </c>
      <c r="E47" s="32">
        <f>IF($A47="","",INDEX(Candidates!$BJ$2:$BJ$301,MATCH(LARGE(Candidates!$BK$2:$BK$301,$A47),Candidates!$BK$2:$BK$301,0)))</f>
        <v/>
      </c>
      <c r="F47" s="34">
        <f>IF($A47="","",INDEX(Candidates!$BL$2:$BL$301,MATCH(LARGE(Candidates!$BK$2:$BK$301,$A47),Candidates!$BK$2:$BK$301,0))&amp;"")</f>
        <v/>
      </c>
      <c r="G47" s="34">
        <f>IF($A47="","",INDEX(Candidates!$AV$2:$AV$301,MATCH(LARGE(Candidates!$BK$2:$BK$301,$A47),Candidates!$BK$2:$BK$301,0))&amp;"")</f>
        <v/>
      </c>
      <c r="H47" s="34">
        <f>IF($A47="","",INDEX(Candidates!$AW$2:$AW$301,MATCH(LARGE(Candidates!$BK$2:$BK$301,$A47),Candidates!$BK$2:$BK$301,0))&amp;"")</f>
        <v/>
      </c>
    </row>
    <row r="48">
      <c r="A48" s="32">
        <f>IF(ISNUMBER(LARGE(Candidates!$BK$2:$BK$301,44)),44,"")</f>
        <v/>
      </c>
      <c r="B48" s="33">
        <f>IF($A48="","",INDEX(Candidates!$AR$2:$AR$301,MATCH(LARGE(Candidates!$BK$2:$BK$301,$A48),Candidates!$BK$2:$BK$301,0))&amp;"")</f>
        <v/>
      </c>
      <c r="C48" s="34">
        <f>IF($A48="","",INDEX(Candidates!$AS$2:$AS$301,MATCH(LARGE(Candidates!$BK$2:$BK$301,$A48),Candidates!$BK$2:$BK$301,0))&amp;"")</f>
        <v/>
      </c>
      <c r="D48" s="34">
        <f>IF($A48="","",INDEX(Candidates!$AD$2:$AD$301,MATCH(LARGE(Candidates!$BK$2:$BK$301,$A48),Candidates!$BK$2:$BK$301,0))&amp;"")</f>
        <v/>
      </c>
      <c r="E48" s="32">
        <f>IF($A48="","",INDEX(Candidates!$BJ$2:$BJ$301,MATCH(LARGE(Candidates!$BK$2:$BK$301,$A48),Candidates!$BK$2:$BK$301,0)))</f>
        <v/>
      </c>
      <c r="F48" s="34">
        <f>IF($A48="","",INDEX(Candidates!$BL$2:$BL$301,MATCH(LARGE(Candidates!$BK$2:$BK$301,$A48),Candidates!$BK$2:$BK$301,0))&amp;"")</f>
        <v/>
      </c>
      <c r="G48" s="34">
        <f>IF($A48="","",INDEX(Candidates!$AV$2:$AV$301,MATCH(LARGE(Candidates!$BK$2:$BK$301,$A48),Candidates!$BK$2:$BK$301,0))&amp;"")</f>
        <v/>
      </c>
      <c r="H48" s="34">
        <f>IF($A48="","",INDEX(Candidates!$AW$2:$AW$301,MATCH(LARGE(Candidates!$BK$2:$BK$301,$A48),Candidates!$BK$2:$BK$301,0))&amp;"")</f>
        <v/>
      </c>
    </row>
    <row r="49">
      <c r="A49" s="32">
        <f>IF(ISNUMBER(LARGE(Candidates!$BK$2:$BK$301,45)),45,"")</f>
        <v/>
      </c>
      <c r="B49" s="33">
        <f>IF($A49="","",INDEX(Candidates!$AR$2:$AR$301,MATCH(LARGE(Candidates!$BK$2:$BK$301,$A49),Candidates!$BK$2:$BK$301,0))&amp;"")</f>
        <v/>
      </c>
      <c r="C49" s="34">
        <f>IF($A49="","",INDEX(Candidates!$AS$2:$AS$301,MATCH(LARGE(Candidates!$BK$2:$BK$301,$A49),Candidates!$BK$2:$BK$301,0))&amp;"")</f>
        <v/>
      </c>
      <c r="D49" s="34">
        <f>IF($A49="","",INDEX(Candidates!$AD$2:$AD$301,MATCH(LARGE(Candidates!$BK$2:$BK$301,$A49),Candidates!$BK$2:$BK$301,0))&amp;"")</f>
        <v/>
      </c>
      <c r="E49" s="32">
        <f>IF($A49="","",INDEX(Candidates!$BJ$2:$BJ$301,MATCH(LARGE(Candidates!$BK$2:$BK$301,$A49),Candidates!$BK$2:$BK$301,0)))</f>
        <v/>
      </c>
      <c r="F49" s="34">
        <f>IF($A49="","",INDEX(Candidates!$BL$2:$BL$301,MATCH(LARGE(Candidates!$BK$2:$BK$301,$A49),Candidates!$BK$2:$BK$301,0))&amp;"")</f>
        <v/>
      </c>
      <c r="G49" s="34">
        <f>IF($A49="","",INDEX(Candidates!$AV$2:$AV$301,MATCH(LARGE(Candidates!$BK$2:$BK$301,$A49),Candidates!$BK$2:$BK$301,0))&amp;"")</f>
        <v/>
      </c>
      <c r="H49" s="34">
        <f>IF($A49="","",INDEX(Candidates!$AW$2:$AW$301,MATCH(LARGE(Candidates!$BK$2:$BK$301,$A49),Candidates!$BK$2:$BK$301,0))&amp;"")</f>
        <v/>
      </c>
    </row>
    <row r="50">
      <c r="A50" s="32">
        <f>IF(ISNUMBER(LARGE(Candidates!$BK$2:$BK$301,46)),46,"")</f>
        <v/>
      </c>
      <c r="B50" s="33">
        <f>IF($A50="","",INDEX(Candidates!$AR$2:$AR$301,MATCH(LARGE(Candidates!$BK$2:$BK$301,$A50),Candidates!$BK$2:$BK$301,0))&amp;"")</f>
        <v/>
      </c>
      <c r="C50" s="34">
        <f>IF($A50="","",INDEX(Candidates!$AS$2:$AS$301,MATCH(LARGE(Candidates!$BK$2:$BK$301,$A50),Candidates!$BK$2:$BK$301,0))&amp;"")</f>
        <v/>
      </c>
      <c r="D50" s="34">
        <f>IF($A50="","",INDEX(Candidates!$AD$2:$AD$301,MATCH(LARGE(Candidates!$BK$2:$BK$301,$A50),Candidates!$BK$2:$BK$301,0))&amp;"")</f>
        <v/>
      </c>
      <c r="E50" s="32">
        <f>IF($A50="","",INDEX(Candidates!$BJ$2:$BJ$301,MATCH(LARGE(Candidates!$BK$2:$BK$301,$A50),Candidates!$BK$2:$BK$301,0)))</f>
        <v/>
      </c>
      <c r="F50" s="34">
        <f>IF($A50="","",INDEX(Candidates!$BL$2:$BL$301,MATCH(LARGE(Candidates!$BK$2:$BK$301,$A50),Candidates!$BK$2:$BK$301,0))&amp;"")</f>
        <v/>
      </c>
      <c r="G50" s="34">
        <f>IF($A50="","",INDEX(Candidates!$AV$2:$AV$301,MATCH(LARGE(Candidates!$BK$2:$BK$301,$A50),Candidates!$BK$2:$BK$301,0))&amp;"")</f>
        <v/>
      </c>
      <c r="H50" s="34">
        <f>IF($A50="","",INDEX(Candidates!$AW$2:$AW$301,MATCH(LARGE(Candidates!$BK$2:$BK$301,$A50),Candidates!$BK$2:$BK$301,0))&amp;"")</f>
        <v/>
      </c>
    </row>
    <row r="51">
      <c r="A51" s="32">
        <f>IF(ISNUMBER(LARGE(Candidates!$BK$2:$BK$301,47)),47,"")</f>
        <v/>
      </c>
      <c r="B51" s="33">
        <f>IF($A51="","",INDEX(Candidates!$AR$2:$AR$301,MATCH(LARGE(Candidates!$BK$2:$BK$301,$A51),Candidates!$BK$2:$BK$301,0))&amp;"")</f>
        <v/>
      </c>
      <c r="C51" s="34">
        <f>IF($A51="","",INDEX(Candidates!$AS$2:$AS$301,MATCH(LARGE(Candidates!$BK$2:$BK$301,$A51),Candidates!$BK$2:$BK$301,0))&amp;"")</f>
        <v/>
      </c>
      <c r="D51" s="34">
        <f>IF($A51="","",INDEX(Candidates!$AD$2:$AD$301,MATCH(LARGE(Candidates!$BK$2:$BK$301,$A51),Candidates!$BK$2:$BK$301,0))&amp;"")</f>
        <v/>
      </c>
      <c r="E51" s="32">
        <f>IF($A51="","",INDEX(Candidates!$BJ$2:$BJ$301,MATCH(LARGE(Candidates!$BK$2:$BK$301,$A51),Candidates!$BK$2:$BK$301,0)))</f>
        <v/>
      </c>
      <c r="F51" s="34">
        <f>IF($A51="","",INDEX(Candidates!$BL$2:$BL$301,MATCH(LARGE(Candidates!$BK$2:$BK$301,$A51),Candidates!$BK$2:$BK$301,0))&amp;"")</f>
        <v/>
      </c>
      <c r="G51" s="34">
        <f>IF($A51="","",INDEX(Candidates!$AV$2:$AV$301,MATCH(LARGE(Candidates!$BK$2:$BK$301,$A51),Candidates!$BK$2:$BK$301,0))&amp;"")</f>
        <v/>
      </c>
      <c r="H51" s="34">
        <f>IF($A51="","",INDEX(Candidates!$AW$2:$AW$301,MATCH(LARGE(Candidates!$BK$2:$BK$301,$A51),Candidates!$BK$2:$BK$301,0))&amp;"")</f>
        <v/>
      </c>
    </row>
    <row r="52">
      <c r="A52" s="32">
        <f>IF(ISNUMBER(LARGE(Candidates!$BK$2:$BK$301,48)),48,"")</f>
        <v/>
      </c>
      <c r="B52" s="33">
        <f>IF($A52="","",INDEX(Candidates!$AR$2:$AR$301,MATCH(LARGE(Candidates!$BK$2:$BK$301,$A52),Candidates!$BK$2:$BK$301,0))&amp;"")</f>
        <v/>
      </c>
      <c r="C52" s="34">
        <f>IF($A52="","",INDEX(Candidates!$AS$2:$AS$301,MATCH(LARGE(Candidates!$BK$2:$BK$301,$A52),Candidates!$BK$2:$BK$301,0))&amp;"")</f>
        <v/>
      </c>
      <c r="D52" s="34">
        <f>IF($A52="","",INDEX(Candidates!$AD$2:$AD$301,MATCH(LARGE(Candidates!$BK$2:$BK$301,$A52),Candidates!$BK$2:$BK$301,0))&amp;"")</f>
        <v/>
      </c>
      <c r="E52" s="32">
        <f>IF($A52="","",INDEX(Candidates!$BJ$2:$BJ$301,MATCH(LARGE(Candidates!$BK$2:$BK$301,$A52),Candidates!$BK$2:$BK$301,0)))</f>
        <v/>
      </c>
      <c r="F52" s="34">
        <f>IF($A52="","",INDEX(Candidates!$BL$2:$BL$301,MATCH(LARGE(Candidates!$BK$2:$BK$301,$A52),Candidates!$BK$2:$BK$301,0))&amp;"")</f>
        <v/>
      </c>
      <c r="G52" s="34">
        <f>IF($A52="","",INDEX(Candidates!$AV$2:$AV$301,MATCH(LARGE(Candidates!$BK$2:$BK$301,$A52),Candidates!$BK$2:$BK$301,0))&amp;"")</f>
        <v/>
      </c>
      <c r="H52" s="34">
        <f>IF($A52="","",INDEX(Candidates!$AW$2:$AW$301,MATCH(LARGE(Candidates!$BK$2:$BK$301,$A52),Candidates!$BK$2:$BK$301,0))&amp;"")</f>
        <v/>
      </c>
    </row>
    <row r="53">
      <c r="A53" s="32">
        <f>IF(ISNUMBER(LARGE(Candidates!$BK$2:$BK$301,49)),49,"")</f>
        <v/>
      </c>
      <c r="B53" s="33">
        <f>IF($A53="","",INDEX(Candidates!$AR$2:$AR$301,MATCH(LARGE(Candidates!$BK$2:$BK$301,$A53),Candidates!$BK$2:$BK$301,0))&amp;"")</f>
        <v/>
      </c>
      <c r="C53" s="34">
        <f>IF($A53="","",INDEX(Candidates!$AS$2:$AS$301,MATCH(LARGE(Candidates!$BK$2:$BK$301,$A53),Candidates!$BK$2:$BK$301,0))&amp;"")</f>
        <v/>
      </c>
      <c r="D53" s="34">
        <f>IF($A53="","",INDEX(Candidates!$AD$2:$AD$301,MATCH(LARGE(Candidates!$BK$2:$BK$301,$A53),Candidates!$BK$2:$BK$301,0))&amp;"")</f>
        <v/>
      </c>
      <c r="E53" s="32">
        <f>IF($A53="","",INDEX(Candidates!$BJ$2:$BJ$301,MATCH(LARGE(Candidates!$BK$2:$BK$301,$A53),Candidates!$BK$2:$BK$301,0)))</f>
        <v/>
      </c>
      <c r="F53" s="34">
        <f>IF($A53="","",INDEX(Candidates!$BL$2:$BL$301,MATCH(LARGE(Candidates!$BK$2:$BK$301,$A53),Candidates!$BK$2:$BK$301,0))&amp;"")</f>
        <v/>
      </c>
      <c r="G53" s="34">
        <f>IF($A53="","",INDEX(Candidates!$AV$2:$AV$301,MATCH(LARGE(Candidates!$BK$2:$BK$301,$A53),Candidates!$BK$2:$BK$301,0))&amp;"")</f>
        <v/>
      </c>
      <c r="H53" s="34">
        <f>IF($A53="","",INDEX(Candidates!$AW$2:$AW$301,MATCH(LARGE(Candidates!$BK$2:$BK$301,$A53),Candidates!$BK$2:$BK$301,0))&amp;"")</f>
        <v/>
      </c>
    </row>
    <row r="54">
      <c r="A54" s="32">
        <f>IF(ISNUMBER(LARGE(Candidates!$BK$2:$BK$301,50)),50,"")</f>
        <v/>
      </c>
      <c r="B54" s="33">
        <f>IF($A54="","",INDEX(Candidates!$AR$2:$AR$301,MATCH(LARGE(Candidates!$BK$2:$BK$301,$A54),Candidates!$BK$2:$BK$301,0))&amp;"")</f>
        <v/>
      </c>
      <c r="C54" s="34">
        <f>IF($A54="","",INDEX(Candidates!$AS$2:$AS$301,MATCH(LARGE(Candidates!$BK$2:$BK$301,$A54),Candidates!$BK$2:$BK$301,0))&amp;"")</f>
        <v/>
      </c>
      <c r="D54" s="34">
        <f>IF($A54="","",INDEX(Candidates!$AD$2:$AD$301,MATCH(LARGE(Candidates!$BK$2:$BK$301,$A54),Candidates!$BK$2:$BK$301,0))&amp;"")</f>
        <v/>
      </c>
      <c r="E54" s="32">
        <f>IF($A54="","",INDEX(Candidates!$BJ$2:$BJ$301,MATCH(LARGE(Candidates!$BK$2:$BK$301,$A54),Candidates!$BK$2:$BK$301,0)))</f>
        <v/>
      </c>
      <c r="F54" s="34">
        <f>IF($A54="","",INDEX(Candidates!$BL$2:$BL$301,MATCH(LARGE(Candidates!$BK$2:$BK$301,$A54),Candidates!$BK$2:$BK$301,0))&amp;"")</f>
        <v/>
      </c>
      <c r="G54" s="34">
        <f>IF($A54="","",INDEX(Candidates!$AV$2:$AV$301,MATCH(LARGE(Candidates!$BK$2:$BK$301,$A54),Candidates!$BK$2:$BK$301,0))&amp;"")</f>
        <v/>
      </c>
      <c r="H54" s="34">
        <f>IF($A54="","",INDEX(Candidates!$AW$2:$AW$301,MATCH(LARGE(Candidates!$BK$2:$BK$301,$A54),Candidates!$BK$2:$BK$301,0))&amp;"")</f>
        <v/>
      </c>
    </row>
    <row r="55">
      <c r="A55" s="32">
        <f>IF(ISNUMBER(LARGE(Candidates!$BK$2:$BK$301,51)),51,"")</f>
        <v/>
      </c>
      <c r="B55" s="33">
        <f>IF($A55="","",INDEX(Candidates!$AR$2:$AR$301,MATCH(LARGE(Candidates!$BK$2:$BK$301,$A55),Candidates!$BK$2:$BK$301,0))&amp;"")</f>
        <v/>
      </c>
      <c r="C55" s="34">
        <f>IF($A55="","",INDEX(Candidates!$AS$2:$AS$301,MATCH(LARGE(Candidates!$BK$2:$BK$301,$A55),Candidates!$BK$2:$BK$301,0))&amp;"")</f>
        <v/>
      </c>
      <c r="D55" s="34">
        <f>IF($A55="","",INDEX(Candidates!$AD$2:$AD$301,MATCH(LARGE(Candidates!$BK$2:$BK$301,$A55),Candidates!$BK$2:$BK$301,0))&amp;"")</f>
        <v/>
      </c>
      <c r="E55" s="32">
        <f>IF($A55="","",INDEX(Candidates!$BJ$2:$BJ$301,MATCH(LARGE(Candidates!$BK$2:$BK$301,$A55),Candidates!$BK$2:$BK$301,0)))</f>
        <v/>
      </c>
      <c r="F55" s="34">
        <f>IF($A55="","",INDEX(Candidates!$BL$2:$BL$301,MATCH(LARGE(Candidates!$BK$2:$BK$301,$A55),Candidates!$BK$2:$BK$301,0))&amp;"")</f>
        <v/>
      </c>
      <c r="G55" s="34">
        <f>IF($A55="","",INDEX(Candidates!$AV$2:$AV$301,MATCH(LARGE(Candidates!$BK$2:$BK$301,$A55),Candidates!$BK$2:$BK$301,0))&amp;"")</f>
        <v/>
      </c>
      <c r="H55" s="34">
        <f>IF($A55="","",INDEX(Candidates!$AW$2:$AW$301,MATCH(LARGE(Candidates!$BK$2:$BK$301,$A55),Candidates!$BK$2:$BK$301,0))&amp;"")</f>
        <v/>
      </c>
    </row>
    <row r="56">
      <c r="A56" s="32">
        <f>IF(ISNUMBER(LARGE(Candidates!$BK$2:$BK$301,52)),52,"")</f>
        <v/>
      </c>
      <c r="B56" s="33">
        <f>IF($A56="","",INDEX(Candidates!$AR$2:$AR$301,MATCH(LARGE(Candidates!$BK$2:$BK$301,$A56),Candidates!$BK$2:$BK$301,0))&amp;"")</f>
        <v/>
      </c>
      <c r="C56" s="34">
        <f>IF($A56="","",INDEX(Candidates!$AS$2:$AS$301,MATCH(LARGE(Candidates!$BK$2:$BK$301,$A56),Candidates!$BK$2:$BK$301,0))&amp;"")</f>
        <v/>
      </c>
      <c r="D56" s="34">
        <f>IF($A56="","",INDEX(Candidates!$AD$2:$AD$301,MATCH(LARGE(Candidates!$BK$2:$BK$301,$A56),Candidates!$BK$2:$BK$301,0))&amp;"")</f>
        <v/>
      </c>
      <c r="E56" s="32">
        <f>IF($A56="","",INDEX(Candidates!$BJ$2:$BJ$301,MATCH(LARGE(Candidates!$BK$2:$BK$301,$A56),Candidates!$BK$2:$BK$301,0)))</f>
        <v/>
      </c>
      <c r="F56" s="34">
        <f>IF($A56="","",INDEX(Candidates!$BL$2:$BL$301,MATCH(LARGE(Candidates!$BK$2:$BK$301,$A56),Candidates!$BK$2:$BK$301,0))&amp;"")</f>
        <v/>
      </c>
      <c r="G56" s="34">
        <f>IF($A56="","",INDEX(Candidates!$AV$2:$AV$301,MATCH(LARGE(Candidates!$BK$2:$BK$301,$A56),Candidates!$BK$2:$BK$301,0))&amp;"")</f>
        <v/>
      </c>
      <c r="H56" s="34">
        <f>IF($A56="","",INDEX(Candidates!$AW$2:$AW$301,MATCH(LARGE(Candidates!$BK$2:$BK$301,$A56),Candidates!$BK$2:$BK$301,0))&amp;"")</f>
        <v/>
      </c>
    </row>
    <row r="57">
      <c r="A57" s="32">
        <f>IF(ISNUMBER(LARGE(Candidates!$BK$2:$BK$301,53)),53,"")</f>
        <v/>
      </c>
      <c r="B57" s="33">
        <f>IF($A57="","",INDEX(Candidates!$AR$2:$AR$301,MATCH(LARGE(Candidates!$BK$2:$BK$301,$A57),Candidates!$BK$2:$BK$301,0))&amp;"")</f>
        <v/>
      </c>
      <c r="C57" s="34">
        <f>IF($A57="","",INDEX(Candidates!$AS$2:$AS$301,MATCH(LARGE(Candidates!$BK$2:$BK$301,$A57),Candidates!$BK$2:$BK$301,0))&amp;"")</f>
        <v/>
      </c>
      <c r="D57" s="34">
        <f>IF($A57="","",INDEX(Candidates!$AD$2:$AD$301,MATCH(LARGE(Candidates!$BK$2:$BK$301,$A57),Candidates!$BK$2:$BK$301,0))&amp;"")</f>
        <v/>
      </c>
      <c r="E57" s="32">
        <f>IF($A57="","",INDEX(Candidates!$BJ$2:$BJ$301,MATCH(LARGE(Candidates!$BK$2:$BK$301,$A57),Candidates!$BK$2:$BK$301,0)))</f>
        <v/>
      </c>
      <c r="F57" s="34">
        <f>IF($A57="","",INDEX(Candidates!$BL$2:$BL$301,MATCH(LARGE(Candidates!$BK$2:$BK$301,$A57),Candidates!$BK$2:$BK$301,0))&amp;"")</f>
        <v/>
      </c>
      <c r="G57" s="34">
        <f>IF($A57="","",INDEX(Candidates!$AV$2:$AV$301,MATCH(LARGE(Candidates!$BK$2:$BK$301,$A57),Candidates!$BK$2:$BK$301,0))&amp;"")</f>
        <v/>
      </c>
      <c r="H57" s="34">
        <f>IF($A57="","",INDEX(Candidates!$AW$2:$AW$301,MATCH(LARGE(Candidates!$BK$2:$BK$301,$A57),Candidates!$BK$2:$BK$301,0))&amp;"")</f>
        <v/>
      </c>
    </row>
    <row r="58">
      <c r="A58" s="32">
        <f>IF(ISNUMBER(LARGE(Candidates!$BK$2:$BK$301,54)),54,"")</f>
        <v/>
      </c>
      <c r="B58" s="33">
        <f>IF($A58="","",INDEX(Candidates!$AR$2:$AR$301,MATCH(LARGE(Candidates!$BK$2:$BK$301,$A58),Candidates!$BK$2:$BK$301,0))&amp;"")</f>
        <v/>
      </c>
      <c r="C58" s="34">
        <f>IF($A58="","",INDEX(Candidates!$AS$2:$AS$301,MATCH(LARGE(Candidates!$BK$2:$BK$301,$A58),Candidates!$BK$2:$BK$301,0))&amp;"")</f>
        <v/>
      </c>
      <c r="D58" s="34">
        <f>IF($A58="","",INDEX(Candidates!$AD$2:$AD$301,MATCH(LARGE(Candidates!$BK$2:$BK$301,$A58),Candidates!$BK$2:$BK$301,0))&amp;"")</f>
        <v/>
      </c>
      <c r="E58" s="32">
        <f>IF($A58="","",INDEX(Candidates!$BJ$2:$BJ$301,MATCH(LARGE(Candidates!$BK$2:$BK$301,$A58),Candidates!$BK$2:$BK$301,0)))</f>
        <v/>
      </c>
      <c r="F58" s="34">
        <f>IF($A58="","",INDEX(Candidates!$BL$2:$BL$301,MATCH(LARGE(Candidates!$BK$2:$BK$301,$A58),Candidates!$BK$2:$BK$301,0))&amp;"")</f>
        <v/>
      </c>
      <c r="G58" s="34">
        <f>IF($A58="","",INDEX(Candidates!$AV$2:$AV$301,MATCH(LARGE(Candidates!$BK$2:$BK$301,$A58),Candidates!$BK$2:$BK$301,0))&amp;"")</f>
        <v/>
      </c>
      <c r="H58" s="34">
        <f>IF($A58="","",INDEX(Candidates!$AW$2:$AW$301,MATCH(LARGE(Candidates!$BK$2:$BK$301,$A58),Candidates!$BK$2:$BK$301,0))&amp;"")</f>
        <v/>
      </c>
    </row>
    <row r="59">
      <c r="A59" s="32">
        <f>IF(ISNUMBER(LARGE(Candidates!$BK$2:$BK$301,55)),55,"")</f>
        <v/>
      </c>
      <c r="B59" s="33">
        <f>IF($A59="","",INDEX(Candidates!$AR$2:$AR$301,MATCH(LARGE(Candidates!$BK$2:$BK$301,$A59),Candidates!$BK$2:$BK$301,0))&amp;"")</f>
        <v/>
      </c>
      <c r="C59" s="34">
        <f>IF($A59="","",INDEX(Candidates!$AS$2:$AS$301,MATCH(LARGE(Candidates!$BK$2:$BK$301,$A59),Candidates!$BK$2:$BK$301,0))&amp;"")</f>
        <v/>
      </c>
      <c r="D59" s="34">
        <f>IF($A59="","",INDEX(Candidates!$AD$2:$AD$301,MATCH(LARGE(Candidates!$BK$2:$BK$301,$A59),Candidates!$BK$2:$BK$301,0))&amp;"")</f>
        <v/>
      </c>
      <c r="E59" s="32">
        <f>IF($A59="","",INDEX(Candidates!$BJ$2:$BJ$301,MATCH(LARGE(Candidates!$BK$2:$BK$301,$A59),Candidates!$BK$2:$BK$301,0)))</f>
        <v/>
      </c>
      <c r="F59" s="34">
        <f>IF($A59="","",INDEX(Candidates!$BL$2:$BL$301,MATCH(LARGE(Candidates!$BK$2:$BK$301,$A59),Candidates!$BK$2:$BK$301,0))&amp;"")</f>
        <v/>
      </c>
      <c r="G59" s="34">
        <f>IF($A59="","",INDEX(Candidates!$AV$2:$AV$301,MATCH(LARGE(Candidates!$BK$2:$BK$301,$A59),Candidates!$BK$2:$BK$301,0))&amp;"")</f>
        <v/>
      </c>
      <c r="H59" s="34">
        <f>IF($A59="","",INDEX(Candidates!$AW$2:$AW$301,MATCH(LARGE(Candidates!$BK$2:$BK$301,$A59),Candidates!$BK$2:$BK$301,0))&amp;"")</f>
        <v/>
      </c>
    </row>
    <row r="60">
      <c r="A60" s="32">
        <f>IF(ISNUMBER(LARGE(Candidates!$BK$2:$BK$301,56)),56,"")</f>
        <v/>
      </c>
      <c r="B60" s="33">
        <f>IF($A60="","",INDEX(Candidates!$AR$2:$AR$301,MATCH(LARGE(Candidates!$BK$2:$BK$301,$A60),Candidates!$BK$2:$BK$301,0))&amp;"")</f>
        <v/>
      </c>
      <c r="C60" s="34">
        <f>IF($A60="","",INDEX(Candidates!$AS$2:$AS$301,MATCH(LARGE(Candidates!$BK$2:$BK$301,$A60),Candidates!$BK$2:$BK$301,0))&amp;"")</f>
        <v/>
      </c>
      <c r="D60" s="34">
        <f>IF($A60="","",INDEX(Candidates!$AD$2:$AD$301,MATCH(LARGE(Candidates!$BK$2:$BK$301,$A60),Candidates!$BK$2:$BK$301,0))&amp;"")</f>
        <v/>
      </c>
      <c r="E60" s="32">
        <f>IF($A60="","",INDEX(Candidates!$BJ$2:$BJ$301,MATCH(LARGE(Candidates!$BK$2:$BK$301,$A60),Candidates!$BK$2:$BK$301,0)))</f>
        <v/>
      </c>
      <c r="F60" s="34">
        <f>IF($A60="","",INDEX(Candidates!$BL$2:$BL$301,MATCH(LARGE(Candidates!$BK$2:$BK$301,$A60),Candidates!$BK$2:$BK$301,0))&amp;"")</f>
        <v/>
      </c>
      <c r="G60" s="34">
        <f>IF($A60="","",INDEX(Candidates!$AV$2:$AV$301,MATCH(LARGE(Candidates!$BK$2:$BK$301,$A60),Candidates!$BK$2:$BK$301,0))&amp;"")</f>
        <v/>
      </c>
      <c r="H60" s="34">
        <f>IF($A60="","",INDEX(Candidates!$AW$2:$AW$301,MATCH(LARGE(Candidates!$BK$2:$BK$301,$A60),Candidates!$BK$2:$BK$301,0))&amp;"")</f>
        <v/>
      </c>
    </row>
    <row r="61">
      <c r="A61" s="32">
        <f>IF(ISNUMBER(LARGE(Candidates!$BK$2:$BK$301,57)),57,"")</f>
        <v/>
      </c>
      <c r="B61" s="33">
        <f>IF($A61="","",INDEX(Candidates!$AR$2:$AR$301,MATCH(LARGE(Candidates!$BK$2:$BK$301,$A61),Candidates!$BK$2:$BK$301,0))&amp;"")</f>
        <v/>
      </c>
      <c r="C61" s="34">
        <f>IF($A61="","",INDEX(Candidates!$AS$2:$AS$301,MATCH(LARGE(Candidates!$BK$2:$BK$301,$A61),Candidates!$BK$2:$BK$301,0))&amp;"")</f>
        <v/>
      </c>
      <c r="D61" s="34">
        <f>IF($A61="","",INDEX(Candidates!$AD$2:$AD$301,MATCH(LARGE(Candidates!$BK$2:$BK$301,$A61),Candidates!$BK$2:$BK$301,0))&amp;"")</f>
        <v/>
      </c>
      <c r="E61" s="32">
        <f>IF($A61="","",INDEX(Candidates!$BJ$2:$BJ$301,MATCH(LARGE(Candidates!$BK$2:$BK$301,$A61),Candidates!$BK$2:$BK$301,0)))</f>
        <v/>
      </c>
      <c r="F61" s="34">
        <f>IF($A61="","",INDEX(Candidates!$BL$2:$BL$301,MATCH(LARGE(Candidates!$BK$2:$BK$301,$A61),Candidates!$BK$2:$BK$301,0))&amp;"")</f>
        <v/>
      </c>
      <c r="G61" s="34">
        <f>IF($A61="","",INDEX(Candidates!$AV$2:$AV$301,MATCH(LARGE(Candidates!$BK$2:$BK$301,$A61),Candidates!$BK$2:$BK$301,0))&amp;"")</f>
        <v/>
      </c>
      <c r="H61" s="34">
        <f>IF($A61="","",INDEX(Candidates!$AW$2:$AW$301,MATCH(LARGE(Candidates!$BK$2:$BK$301,$A61),Candidates!$BK$2:$BK$301,0))&amp;"")</f>
        <v/>
      </c>
    </row>
    <row r="62">
      <c r="A62" s="32">
        <f>IF(ISNUMBER(LARGE(Candidates!$BK$2:$BK$301,58)),58,"")</f>
        <v/>
      </c>
      <c r="B62" s="33">
        <f>IF($A62="","",INDEX(Candidates!$AR$2:$AR$301,MATCH(LARGE(Candidates!$BK$2:$BK$301,$A62),Candidates!$BK$2:$BK$301,0))&amp;"")</f>
        <v/>
      </c>
      <c r="C62" s="34">
        <f>IF($A62="","",INDEX(Candidates!$AS$2:$AS$301,MATCH(LARGE(Candidates!$BK$2:$BK$301,$A62),Candidates!$BK$2:$BK$301,0))&amp;"")</f>
        <v/>
      </c>
      <c r="D62" s="34">
        <f>IF($A62="","",INDEX(Candidates!$AD$2:$AD$301,MATCH(LARGE(Candidates!$BK$2:$BK$301,$A62),Candidates!$BK$2:$BK$301,0))&amp;"")</f>
        <v/>
      </c>
      <c r="E62" s="32">
        <f>IF($A62="","",INDEX(Candidates!$BJ$2:$BJ$301,MATCH(LARGE(Candidates!$BK$2:$BK$301,$A62),Candidates!$BK$2:$BK$301,0)))</f>
        <v/>
      </c>
      <c r="F62" s="34">
        <f>IF($A62="","",INDEX(Candidates!$BL$2:$BL$301,MATCH(LARGE(Candidates!$BK$2:$BK$301,$A62),Candidates!$BK$2:$BK$301,0))&amp;"")</f>
        <v/>
      </c>
      <c r="G62" s="34">
        <f>IF($A62="","",INDEX(Candidates!$AV$2:$AV$301,MATCH(LARGE(Candidates!$BK$2:$BK$301,$A62),Candidates!$BK$2:$BK$301,0))&amp;"")</f>
        <v/>
      </c>
      <c r="H62" s="34">
        <f>IF($A62="","",INDEX(Candidates!$AW$2:$AW$301,MATCH(LARGE(Candidates!$BK$2:$BK$301,$A62),Candidates!$BK$2:$BK$301,0))&amp;"")</f>
        <v/>
      </c>
    </row>
    <row r="63">
      <c r="A63" s="32">
        <f>IF(ISNUMBER(LARGE(Candidates!$BK$2:$BK$301,59)),59,"")</f>
        <v/>
      </c>
      <c r="B63" s="33">
        <f>IF($A63="","",INDEX(Candidates!$AR$2:$AR$301,MATCH(LARGE(Candidates!$BK$2:$BK$301,$A63),Candidates!$BK$2:$BK$301,0))&amp;"")</f>
        <v/>
      </c>
      <c r="C63" s="34">
        <f>IF($A63="","",INDEX(Candidates!$AS$2:$AS$301,MATCH(LARGE(Candidates!$BK$2:$BK$301,$A63),Candidates!$BK$2:$BK$301,0))&amp;"")</f>
        <v/>
      </c>
      <c r="D63" s="34">
        <f>IF($A63="","",INDEX(Candidates!$AD$2:$AD$301,MATCH(LARGE(Candidates!$BK$2:$BK$301,$A63),Candidates!$BK$2:$BK$301,0))&amp;"")</f>
        <v/>
      </c>
      <c r="E63" s="32">
        <f>IF($A63="","",INDEX(Candidates!$BJ$2:$BJ$301,MATCH(LARGE(Candidates!$BK$2:$BK$301,$A63),Candidates!$BK$2:$BK$301,0)))</f>
        <v/>
      </c>
      <c r="F63" s="34">
        <f>IF($A63="","",INDEX(Candidates!$BL$2:$BL$301,MATCH(LARGE(Candidates!$BK$2:$BK$301,$A63),Candidates!$BK$2:$BK$301,0))&amp;"")</f>
        <v/>
      </c>
      <c r="G63" s="34">
        <f>IF($A63="","",INDEX(Candidates!$AV$2:$AV$301,MATCH(LARGE(Candidates!$BK$2:$BK$301,$A63),Candidates!$BK$2:$BK$301,0))&amp;"")</f>
        <v/>
      </c>
      <c r="H63" s="34">
        <f>IF($A63="","",INDEX(Candidates!$AW$2:$AW$301,MATCH(LARGE(Candidates!$BK$2:$BK$301,$A63),Candidates!$BK$2:$BK$301,0))&amp;"")</f>
        <v/>
      </c>
    </row>
    <row r="64">
      <c r="A64" s="32">
        <f>IF(ISNUMBER(LARGE(Candidates!$BK$2:$BK$301,60)),60,"")</f>
        <v/>
      </c>
      <c r="B64" s="33">
        <f>IF($A64="","",INDEX(Candidates!$AR$2:$AR$301,MATCH(LARGE(Candidates!$BK$2:$BK$301,$A64),Candidates!$BK$2:$BK$301,0))&amp;"")</f>
        <v/>
      </c>
      <c r="C64" s="34">
        <f>IF($A64="","",INDEX(Candidates!$AS$2:$AS$301,MATCH(LARGE(Candidates!$BK$2:$BK$301,$A64),Candidates!$BK$2:$BK$301,0))&amp;"")</f>
        <v/>
      </c>
      <c r="D64" s="34">
        <f>IF($A64="","",INDEX(Candidates!$AD$2:$AD$301,MATCH(LARGE(Candidates!$BK$2:$BK$301,$A64),Candidates!$BK$2:$BK$301,0))&amp;"")</f>
        <v/>
      </c>
      <c r="E64" s="32">
        <f>IF($A64="","",INDEX(Candidates!$BJ$2:$BJ$301,MATCH(LARGE(Candidates!$BK$2:$BK$301,$A64),Candidates!$BK$2:$BK$301,0)))</f>
        <v/>
      </c>
      <c r="F64" s="34">
        <f>IF($A64="","",INDEX(Candidates!$BL$2:$BL$301,MATCH(LARGE(Candidates!$BK$2:$BK$301,$A64),Candidates!$BK$2:$BK$301,0))&amp;"")</f>
        <v/>
      </c>
      <c r="G64" s="34">
        <f>IF($A64="","",INDEX(Candidates!$AV$2:$AV$301,MATCH(LARGE(Candidates!$BK$2:$BK$301,$A64),Candidates!$BK$2:$BK$301,0))&amp;"")</f>
        <v/>
      </c>
      <c r="H64" s="34">
        <f>IF($A64="","",INDEX(Candidates!$AW$2:$AW$301,MATCH(LARGE(Candidates!$BK$2:$BK$301,$A64),Candidates!$BK$2:$BK$301,0))&amp;"")</f>
        <v/>
      </c>
    </row>
    <row r="65">
      <c r="A65" s="32">
        <f>IF(ISNUMBER(LARGE(Candidates!$BK$2:$BK$301,61)),61,"")</f>
        <v/>
      </c>
      <c r="B65" s="33">
        <f>IF($A65="","",INDEX(Candidates!$AR$2:$AR$301,MATCH(LARGE(Candidates!$BK$2:$BK$301,$A65),Candidates!$BK$2:$BK$301,0))&amp;"")</f>
        <v/>
      </c>
      <c r="C65" s="34">
        <f>IF($A65="","",INDEX(Candidates!$AS$2:$AS$301,MATCH(LARGE(Candidates!$BK$2:$BK$301,$A65),Candidates!$BK$2:$BK$301,0))&amp;"")</f>
        <v/>
      </c>
      <c r="D65" s="34">
        <f>IF($A65="","",INDEX(Candidates!$AD$2:$AD$301,MATCH(LARGE(Candidates!$BK$2:$BK$301,$A65),Candidates!$BK$2:$BK$301,0))&amp;"")</f>
        <v/>
      </c>
      <c r="E65" s="32">
        <f>IF($A65="","",INDEX(Candidates!$BJ$2:$BJ$301,MATCH(LARGE(Candidates!$BK$2:$BK$301,$A65),Candidates!$BK$2:$BK$301,0)))</f>
        <v/>
      </c>
      <c r="F65" s="34">
        <f>IF($A65="","",INDEX(Candidates!$BL$2:$BL$301,MATCH(LARGE(Candidates!$BK$2:$BK$301,$A65),Candidates!$BK$2:$BK$301,0))&amp;"")</f>
        <v/>
      </c>
      <c r="G65" s="34">
        <f>IF($A65="","",INDEX(Candidates!$AV$2:$AV$301,MATCH(LARGE(Candidates!$BK$2:$BK$301,$A65),Candidates!$BK$2:$BK$301,0))&amp;"")</f>
        <v/>
      </c>
      <c r="H65" s="34">
        <f>IF($A65="","",INDEX(Candidates!$AW$2:$AW$301,MATCH(LARGE(Candidates!$BK$2:$BK$301,$A65),Candidates!$BK$2:$BK$301,0))&amp;"")</f>
        <v/>
      </c>
    </row>
    <row r="66">
      <c r="A66" s="32">
        <f>IF(ISNUMBER(LARGE(Candidates!$BK$2:$BK$301,62)),62,"")</f>
        <v/>
      </c>
      <c r="B66" s="33">
        <f>IF($A66="","",INDEX(Candidates!$AR$2:$AR$301,MATCH(LARGE(Candidates!$BK$2:$BK$301,$A66),Candidates!$BK$2:$BK$301,0))&amp;"")</f>
        <v/>
      </c>
      <c r="C66" s="34">
        <f>IF($A66="","",INDEX(Candidates!$AS$2:$AS$301,MATCH(LARGE(Candidates!$BK$2:$BK$301,$A66),Candidates!$BK$2:$BK$301,0))&amp;"")</f>
        <v/>
      </c>
      <c r="D66" s="34">
        <f>IF($A66="","",INDEX(Candidates!$AD$2:$AD$301,MATCH(LARGE(Candidates!$BK$2:$BK$301,$A66),Candidates!$BK$2:$BK$301,0))&amp;"")</f>
        <v/>
      </c>
      <c r="E66" s="32">
        <f>IF($A66="","",INDEX(Candidates!$BJ$2:$BJ$301,MATCH(LARGE(Candidates!$BK$2:$BK$301,$A66),Candidates!$BK$2:$BK$301,0)))</f>
        <v/>
      </c>
      <c r="F66" s="34">
        <f>IF($A66="","",INDEX(Candidates!$BL$2:$BL$301,MATCH(LARGE(Candidates!$BK$2:$BK$301,$A66),Candidates!$BK$2:$BK$301,0))&amp;"")</f>
        <v/>
      </c>
      <c r="G66" s="34">
        <f>IF($A66="","",INDEX(Candidates!$AV$2:$AV$301,MATCH(LARGE(Candidates!$BK$2:$BK$301,$A66),Candidates!$BK$2:$BK$301,0))&amp;"")</f>
        <v/>
      </c>
      <c r="H66" s="34">
        <f>IF($A66="","",INDEX(Candidates!$AW$2:$AW$301,MATCH(LARGE(Candidates!$BK$2:$BK$301,$A66),Candidates!$BK$2:$BK$301,0))&amp;"")</f>
        <v/>
      </c>
    </row>
    <row r="67">
      <c r="A67" s="32">
        <f>IF(ISNUMBER(LARGE(Candidates!$BK$2:$BK$301,63)),63,"")</f>
        <v/>
      </c>
      <c r="B67" s="33">
        <f>IF($A67="","",INDEX(Candidates!$AR$2:$AR$301,MATCH(LARGE(Candidates!$BK$2:$BK$301,$A67),Candidates!$BK$2:$BK$301,0))&amp;"")</f>
        <v/>
      </c>
      <c r="C67" s="34">
        <f>IF($A67="","",INDEX(Candidates!$AS$2:$AS$301,MATCH(LARGE(Candidates!$BK$2:$BK$301,$A67),Candidates!$BK$2:$BK$301,0))&amp;"")</f>
        <v/>
      </c>
      <c r="D67" s="34">
        <f>IF($A67="","",INDEX(Candidates!$AD$2:$AD$301,MATCH(LARGE(Candidates!$BK$2:$BK$301,$A67),Candidates!$BK$2:$BK$301,0))&amp;"")</f>
        <v/>
      </c>
      <c r="E67" s="32">
        <f>IF($A67="","",INDEX(Candidates!$BJ$2:$BJ$301,MATCH(LARGE(Candidates!$BK$2:$BK$301,$A67),Candidates!$BK$2:$BK$301,0)))</f>
        <v/>
      </c>
      <c r="F67" s="34">
        <f>IF($A67="","",INDEX(Candidates!$BL$2:$BL$301,MATCH(LARGE(Candidates!$BK$2:$BK$301,$A67),Candidates!$BK$2:$BK$301,0))&amp;"")</f>
        <v/>
      </c>
      <c r="G67" s="34">
        <f>IF($A67="","",INDEX(Candidates!$AV$2:$AV$301,MATCH(LARGE(Candidates!$BK$2:$BK$301,$A67),Candidates!$BK$2:$BK$301,0))&amp;"")</f>
        <v/>
      </c>
      <c r="H67" s="34">
        <f>IF($A67="","",INDEX(Candidates!$AW$2:$AW$301,MATCH(LARGE(Candidates!$BK$2:$BK$301,$A67),Candidates!$BK$2:$BK$301,0))&amp;"")</f>
        <v/>
      </c>
    </row>
    <row r="68">
      <c r="A68" s="32">
        <f>IF(ISNUMBER(LARGE(Candidates!$BK$2:$BK$301,64)),64,"")</f>
        <v/>
      </c>
      <c r="B68" s="33">
        <f>IF($A68="","",INDEX(Candidates!$AR$2:$AR$301,MATCH(LARGE(Candidates!$BK$2:$BK$301,$A68),Candidates!$BK$2:$BK$301,0))&amp;"")</f>
        <v/>
      </c>
      <c r="C68" s="34">
        <f>IF($A68="","",INDEX(Candidates!$AS$2:$AS$301,MATCH(LARGE(Candidates!$BK$2:$BK$301,$A68),Candidates!$BK$2:$BK$301,0))&amp;"")</f>
        <v/>
      </c>
      <c r="D68" s="34">
        <f>IF($A68="","",INDEX(Candidates!$AD$2:$AD$301,MATCH(LARGE(Candidates!$BK$2:$BK$301,$A68),Candidates!$BK$2:$BK$301,0))&amp;"")</f>
        <v/>
      </c>
      <c r="E68" s="32">
        <f>IF($A68="","",INDEX(Candidates!$BJ$2:$BJ$301,MATCH(LARGE(Candidates!$BK$2:$BK$301,$A68),Candidates!$BK$2:$BK$301,0)))</f>
        <v/>
      </c>
      <c r="F68" s="34">
        <f>IF($A68="","",INDEX(Candidates!$BL$2:$BL$301,MATCH(LARGE(Candidates!$BK$2:$BK$301,$A68),Candidates!$BK$2:$BK$301,0))&amp;"")</f>
        <v/>
      </c>
      <c r="G68" s="34">
        <f>IF($A68="","",INDEX(Candidates!$AV$2:$AV$301,MATCH(LARGE(Candidates!$BK$2:$BK$301,$A68),Candidates!$BK$2:$BK$301,0))&amp;"")</f>
        <v/>
      </c>
      <c r="H68" s="34">
        <f>IF($A68="","",INDEX(Candidates!$AW$2:$AW$301,MATCH(LARGE(Candidates!$BK$2:$BK$301,$A68),Candidates!$BK$2:$BK$301,0))&amp;"")</f>
        <v/>
      </c>
    </row>
    <row r="69">
      <c r="A69" s="32">
        <f>IF(ISNUMBER(LARGE(Candidates!$BK$2:$BK$301,65)),65,"")</f>
        <v/>
      </c>
      <c r="B69" s="33">
        <f>IF($A69="","",INDEX(Candidates!$AR$2:$AR$301,MATCH(LARGE(Candidates!$BK$2:$BK$301,$A69),Candidates!$BK$2:$BK$301,0))&amp;"")</f>
        <v/>
      </c>
      <c r="C69" s="34">
        <f>IF($A69="","",INDEX(Candidates!$AS$2:$AS$301,MATCH(LARGE(Candidates!$BK$2:$BK$301,$A69),Candidates!$BK$2:$BK$301,0))&amp;"")</f>
        <v/>
      </c>
      <c r="D69" s="34">
        <f>IF($A69="","",INDEX(Candidates!$AD$2:$AD$301,MATCH(LARGE(Candidates!$BK$2:$BK$301,$A69),Candidates!$BK$2:$BK$301,0))&amp;"")</f>
        <v/>
      </c>
      <c r="E69" s="32">
        <f>IF($A69="","",INDEX(Candidates!$BJ$2:$BJ$301,MATCH(LARGE(Candidates!$BK$2:$BK$301,$A69),Candidates!$BK$2:$BK$301,0)))</f>
        <v/>
      </c>
      <c r="F69" s="34">
        <f>IF($A69="","",INDEX(Candidates!$BL$2:$BL$301,MATCH(LARGE(Candidates!$BK$2:$BK$301,$A69),Candidates!$BK$2:$BK$301,0))&amp;"")</f>
        <v/>
      </c>
      <c r="G69" s="34">
        <f>IF($A69="","",INDEX(Candidates!$AV$2:$AV$301,MATCH(LARGE(Candidates!$BK$2:$BK$301,$A69),Candidates!$BK$2:$BK$301,0))&amp;"")</f>
        <v/>
      </c>
      <c r="H69" s="34">
        <f>IF($A69="","",INDEX(Candidates!$AW$2:$AW$301,MATCH(LARGE(Candidates!$BK$2:$BK$301,$A69),Candidates!$BK$2:$BK$301,0))&amp;"")</f>
        <v/>
      </c>
    </row>
    <row r="70">
      <c r="A70" s="32">
        <f>IF(ISNUMBER(LARGE(Candidates!$BK$2:$BK$301,66)),66,"")</f>
        <v/>
      </c>
      <c r="B70" s="33">
        <f>IF($A70="","",INDEX(Candidates!$AR$2:$AR$301,MATCH(LARGE(Candidates!$BK$2:$BK$301,$A70),Candidates!$BK$2:$BK$301,0))&amp;"")</f>
        <v/>
      </c>
      <c r="C70" s="34">
        <f>IF($A70="","",INDEX(Candidates!$AS$2:$AS$301,MATCH(LARGE(Candidates!$BK$2:$BK$301,$A70),Candidates!$BK$2:$BK$301,0))&amp;"")</f>
        <v/>
      </c>
      <c r="D70" s="34">
        <f>IF($A70="","",INDEX(Candidates!$AD$2:$AD$301,MATCH(LARGE(Candidates!$BK$2:$BK$301,$A70),Candidates!$BK$2:$BK$301,0))&amp;"")</f>
        <v/>
      </c>
      <c r="E70" s="32">
        <f>IF($A70="","",INDEX(Candidates!$BJ$2:$BJ$301,MATCH(LARGE(Candidates!$BK$2:$BK$301,$A70),Candidates!$BK$2:$BK$301,0)))</f>
        <v/>
      </c>
      <c r="F70" s="34">
        <f>IF($A70="","",INDEX(Candidates!$BL$2:$BL$301,MATCH(LARGE(Candidates!$BK$2:$BK$301,$A70),Candidates!$BK$2:$BK$301,0))&amp;"")</f>
        <v/>
      </c>
      <c r="G70" s="34">
        <f>IF($A70="","",INDEX(Candidates!$AV$2:$AV$301,MATCH(LARGE(Candidates!$BK$2:$BK$301,$A70),Candidates!$BK$2:$BK$301,0))&amp;"")</f>
        <v/>
      </c>
      <c r="H70" s="34">
        <f>IF($A70="","",INDEX(Candidates!$AW$2:$AW$301,MATCH(LARGE(Candidates!$BK$2:$BK$301,$A70),Candidates!$BK$2:$BK$301,0))&amp;"")</f>
        <v/>
      </c>
    </row>
    <row r="71">
      <c r="A71" s="32">
        <f>IF(ISNUMBER(LARGE(Candidates!$BK$2:$BK$301,67)),67,"")</f>
        <v/>
      </c>
      <c r="B71" s="33">
        <f>IF($A71="","",INDEX(Candidates!$AR$2:$AR$301,MATCH(LARGE(Candidates!$BK$2:$BK$301,$A71),Candidates!$BK$2:$BK$301,0))&amp;"")</f>
        <v/>
      </c>
      <c r="C71" s="34">
        <f>IF($A71="","",INDEX(Candidates!$AS$2:$AS$301,MATCH(LARGE(Candidates!$BK$2:$BK$301,$A71),Candidates!$BK$2:$BK$301,0))&amp;"")</f>
        <v/>
      </c>
      <c r="D71" s="34">
        <f>IF($A71="","",INDEX(Candidates!$AD$2:$AD$301,MATCH(LARGE(Candidates!$BK$2:$BK$301,$A71),Candidates!$BK$2:$BK$301,0))&amp;"")</f>
        <v/>
      </c>
      <c r="E71" s="32">
        <f>IF($A71="","",INDEX(Candidates!$BJ$2:$BJ$301,MATCH(LARGE(Candidates!$BK$2:$BK$301,$A71),Candidates!$BK$2:$BK$301,0)))</f>
        <v/>
      </c>
      <c r="F71" s="34">
        <f>IF($A71="","",INDEX(Candidates!$BL$2:$BL$301,MATCH(LARGE(Candidates!$BK$2:$BK$301,$A71),Candidates!$BK$2:$BK$301,0))&amp;"")</f>
        <v/>
      </c>
      <c r="G71" s="34">
        <f>IF($A71="","",INDEX(Candidates!$AV$2:$AV$301,MATCH(LARGE(Candidates!$BK$2:$BK$301,$A71),Candidates!$BK$2:$BK$301,0))&amp;"")</f>
        <v/>
      </c>
      <c r="H71" s="34">
        <f>IF($A71="","",INDEX(Candidates!$AW$2:$AW$301,MATCH(LARGE(Candidates!$BK$2:$BK$301,$A71),Candidates!$BK$2:$BK$301,0))&amp;"")</f>
        <v/>
      </c>
    </row>
    <row r="72">
      <c r="A72" s="32">
        <f>IF(ISNUMBER(LARGE(Candidates!$BK$2:$BK$301,68)),68,"")</f>
        <v/>
      </c>
      <c r="B72" s="33">
        <f>IF($A72="","",INDEX(Candidates!$AR$2:$AR$301,MATCH(LARGE(Candidates!$BK$2:$BK$301,$A72),Candidates!$BK$2:$BK$301,0))&amp;"")</f>
        <v/>
      </c>
      <c r="C72" s="34">
        <f>IF($A72="","",INDEX(Candidates!$AS$2:$AS$301,MATCH(LARGE(Candidates!$BK$2:$BK$301,$A72),Candidates!$BK$2:$BK$301,0))&amp;"")</f>
        <v/>
      </c>
      <c r="D72" s="34">
        <f>IF($A72="","",INDEX(Candidates!$AD$2:$AD$301,MATCH(LARGE(Candidates!$BK$2:$BK$301,$A72),Candidates!$BK$2:$BK$301,0))&amp;"")</f>
        <v/>
      </c>
      <c r="E72" s="32">
        <f>IF($A72="","",INDEX(Candidates!$BJ$2:$BJ$301,MATCH(LARGE(Candidates!$BK$2:$BK$301,$A72),Candidates!$BK$2:$BK$301,0)))</f>
        <v/>
      </c>
      <c r="F72" s="34">
        <f>IF($A72="","",INDEX(Candidates!$BL$2:$BL$301,MATCH(LARGE(Candidates!$BK$2:$BK$301,$A72),Candidates!$BK$2:$BK$301,0))&amp;"")</f>
        <v/>
      </c>
      <c r="G72" s="34">
        <f>IF($A72="","",INDEX(Candidates!$AV$2:$AV$301,MATCH(LARGE(Candidates!$BK$2:$BK$301,$A72),Candidates!$BK$2:$BK$301,0))&amp;"")</f>
        <v/>
      </c>
      <c r="H72" s="34">
        <f>IF($A72="","",INDEX(Candidates!$AW$2:$AW$301,MATCH(LARGE(Candidates!$BK$2:$BK$301,$A72),Candidates!$BK$2:$BK$301,0))&amp;"")</f>
        <v/>
      </c>
    </row>
    <row r="73">
      <c r="A73" s="32">
        <f>IF(ISNUMBER(LARGE(Candidates!$BK$2:$BK$301,69)),69,"")</f>
        <v/>
      </c>
      <c r="B73" s="33">
        <f>IF($A73="","",INDEX(Candidates!$AR$2:$AR$301,MATCH(LARGE(Candidates!$BK$2:$BK$301,$A73),Candidates!$BK$2:$BK$301,0))&amp;"")</f>
        <v/>
      </c>
      <c r="C73" s="34">
        <f>IF($A73="","",INDEX(Candidates!$AS$2:$AS$301,MATCH(LARGE(Candidates!$BK$2:$BK$301,$A73),Candidates!$BK$2:$BK$301,0))&amp;"")</f>
        <v/>
      </c>
      <c r="D73" s="34">
        <f>IF($A73="","",INDEX(Candidates!$AD$2:$AD$301,MATCH(LARGE(Candidates!$BK$2:$BK$301,$A73),Candidates!$BK$2:$BK$301,0))&amp;"")</f>
        <v/>
      </c>
      <c r="E73" s="32">
        <f>IF($A73="","",INDEX(Candidates!$BJ$2:$BJ$301,MATCH(LARGE(Candidates!$BK$2:$BK$301,$A73),Candidates!$BK$2:$BK$301,0)))</f>
        <v/>
      </c>
      <c r="F73" s="34">
        <f>IF($A73="","",INDEX(Candidates!$BL$2:$BL$301,MATCH(LARGE(Candidates!$BK$2:$BK$301,$A73),Candidates!$BK$2:$BK$301,0))&amp;"")</f>
        <v/>
      </c>
      <c r="G73" s="34">
        <f>IF($A73="","",INDEX(Candidates!$AV$2:$AV$301,MATCH(LARGE(Candidates!$BK$2:$BK$301,$A73),Candidates!$BK$2:$BK$301,0))&amp;"")</f>
        <v/>
      </c>
      <c r="H73" s="34">
        <f>IF($A73="","",INDEX(Candidates!$AW$2:$AW$301,MATCH(LARGE(Candidates!$BK$2:$BK$301,$A73),Candidates!$BK$2:$BK$301,0))&amp;"")</f>
        <v/>
      </c>
    </row>
    <row r="74">
      <c r="A74" s="32">
        <f>IF(ISNUMBER(LARGE(Candidates!$BK$2:$BK$301,70)),70,"")</f>
        <v/>
      </c>
      <c r="B74" s="33">
        <f>IF($A74="","",INDEX(Candidates!$AR$2:$AR$301,MATCH(LARGE(Candidates!$BK$2:$BK$301,$A74),Candidates!$BK$2:$BK$301,0))&amp;"")</f>
        <v/>
      </c>
      <c r="C74" s="34">
        <f>IF($A74="","",INDEX(Candidates!$AS$2:$AS$301,MATCH(LARGE(Candidates!$BK$2:$BK$301,$A74),Candidates!$BK$2:$BK$301,0))&amp;"")</f>
        <v/>
      </c>
      <c r="D74" s="34">
        <f>IF($A74="","",INDEX(Candidates!$AD$2:$AD$301,MATCH(LARGE(Candidates!$BK$2:$BK$301,$A74),Candidates!$BK$2:$BK$301,0))&amp;"")</f>
        <v/>
      </c>
      <c r="E74" s="32">
        <f>IF($A74="","",INDEX(Candidates!$BJ$2:$BJ$301,MATCH(LARGE(Candidates!$BK$2:$BK$301,$A74),Candidates!$BK$2:$BK$301,0)))</f>
        <v/>
      </c>
      <c r="F74" s="34">
        <f>IF($A74="","",INDEX(Candidates!$BL$2:$BL$301,MATCH(LARGE(Candidates!$BK$2:$BK$301,$A74),Candidates!$BK$2:$BK$301,0))&amp;"")</f>
        <v/>
      </c>
      <c r="G74" s="34">
        <f>IF($A74="","",INDEX(Candidates!$AV$2:$AV$301,MATCH(LARGE(Candidates!$BK$2:$BK$301,$A74),Candidates!$BK$2:$BK$301,0))&amp;"")</f>
        <v/>
      </c>
      <c r="H74" s="34">
        <f>IF($A74="","",INDEX(Candidates!$AW$2:$AW$301,MATCH(LARGE(Candidates!$BK$2:$BK$301,$A74),Candidates!$BK$2:$BK$301,0))&amp;"")</f>
        <v/>
      </c>
    </row>
    <row r="75">
      <c r="A75" s="32">
        <f>IF(ISNUMBER(LARGE(Candidates!$BK$2:$BK$301,71)),71,"")</f>
        <v/>
      </c>
      <c r="B75" s="33">
        <f>IF($A75="","",INDEX(Candidates!$AR$2:$AR$301,MATCH(LARGE(Candidates!$BK$2:$BK$301,$A75),Candidates!$BK$2:$BK$301,0))&amp;"")</f>
        <v/>
      </c>
      <c r="C75" s="34">
        <f>IF($A75="","",INDEX(Candidates!$AS$2:$AS$301,MATCH(LARGE(Candidates!$BK$2:$BK$301,$A75),Candidates!$BK$2:$BK$301,0))&amp;"")</f>
        <v/>
      </c>
      <c r="D75" s="34">
        <f>IF($A75="","",INDEX(Candidates!$AD$2:$AD$301,MATCH(LARGE(Candidates!$BK$2:$BK$301,$A75),Candidates!$BK$2:$BK$301,0))&amp;"")</f>
        <v/>
      </c>
      <c r="E75" s="32">
        <f>IF($A75="","",INDEX(Candidates!$BJ$2:$BJ$301,MATCH(LARGE(Candidates!$BK$2:$BK$301,$A75),Candidates!$BK$2:$BK$301,0)))</f>
        <v/>
      </c>
      <c r="F75" s="34">
        <f>IF($A75="","",INDEX(Candidates!$BL$2:$BL$301,MATCH(LARGE(Candidates!$BK$2:$BK$301,$A75),Candidates!$BK$2:$BK$301,0))&amp;"")</f>
        <v/>
      </c>
      <c r="G75" s="34">
        <f>IF($A75="","",INDEX(Candidates!$AV$2:$AV$301,MATCH(LARGE(Candidates!$BK$2:$BK$301,$A75),Candidates!$BK$2:$BK$301,0))&amp;"")</f>
        <v/>
      </c>
      <c r="H75" s="34">
        <f>IF($A75="","",INDEX(Candidates!$AW$2:$AW$301,MATCH(LARGE(Candidates!$BK$2:$BK$301,$A75),Candidates!$BK$2:$BK$301,0))&amp;"")</f>
        <v/>
      </c>
    </row>
    <row r="76">
      <c r="A76" s="32">
        <f>IF(ISNUMBER(LARGE(Candidates!$BK$2:$BK$301,72)),72,"")</f>
        <v/>
      </c>
      <c r="B76" s="33">
        <f>IF($A76="","",INDEX(Candidates!$AR$2:$AR$301,MATCH(LARGE(Candidates!$BK$2:$BK$301,$A76),Candidates!$BK$2:$BK$301,0))&amp;"")</f>
        <v/>
      </c>
      <c r="C76" s="34">
        <f>IF($A76="","",INDEX(Candidates!$AS$2:$AS$301,MATCH(LARGE(Candidates!$BK$2:$BK$301,$A76),Candidates!$BK$2:$BK$301,0))&amp;"")</f>
        <v/>
      </c>
      <c r="D76" s="34">
        <f>IF($A76="","",INDEX(Candidates!$AD$2:$AD$301,MATCH(LARGE(Candidates!$BK$2:$BK$301,$A76),Candidates!$BK$2:$BK$301,0))&amp;"")</f>
        <v/>
      </c>
      <c r="E76" s="32">
        <f>IF($A76="","",INDEX(Candidates!$BJ$2:$BJ$301,MATCH(LARGE(Candidates!$BK$2:$BK$301,$A76),Candidates!$BK$2:$BK$301,0)))</f>
        <v/>
      </c>
      <c r="F76" s="34">
        <f>IF($A76="","",INDEX(Candidates!$BL$2:$BL$301,MATCH(LARGE(Candidates!$BK$2:$BK$301,$A76),Candidates!$BK$2:$BK$301,0))&amp;"")</f>
        <v/>
      </c>
      <c r="G76" s="34">
        <f>IF($A76="","",INDEX(Candidates!$AV$2:$AV$301,MATCH(LARGE(Candidates!$BK$2:$BK$301,$A76),Candidates!$BK$2:$BK$301,0))&amp;"")</f>
        <v/>
      </c>
      <c r="H76" s="34">
        <f>IF($A76="","",INDEX(Candidates!$AW$2:$AW$301,MATCH(LARGE(Candidates!$BK$2:$BK$301,$A76),Candidates!$BK$2:$BK$301,0))&amp;"")</f>
        <v/>
      </c>
    </row>
    <row r="77">
      <c r="A77" s="32">
        <f>IF(ISNUMBER(LARGE(Candidates!$BK$2:$BK$301,73)),73,"")</f>
        <v/>
      </c>
      <c r="B77" s="33">
        <f>IF($A77="","",INDEX(Candidates!$AR$2:$AR$301,MATCH(LARGE(Candidates!$BK$2:$BK$301,$A77),Candidates!$BK$2:$BK$301,0))&amp;"")</f>
        <v/>
      </c>
      <c r="C77" s="34">
        <f>IF($A77="","",INDEX(Candidates!$AS$2:$AS$301,MATCH(LARGE(Candidates!$BK$2:$BK$301,$A77),Candidates!$BK$2:$BK$301,0))&amp;"")</f>
        <v/>
      </c>
      <c r="D77" s="34">
        <f>IF($A77="","",INDEX(Candidates!$AD$2:$AD$301,MATCH(LARGE(Candidates!$BK$2:$BK$301,$A77),Candidates!$BK$2:$BK$301,0))&amp;"")</f>
        <v/>
      </c>
      <c r="E77" s="32">
        <f>IF($A77="","",INDEX(Candidates!$BJ$2:$BJ$301,MATCH(LARGE(Candidates!$BK$2:$BK$301,$A77),Candidates!$BK$2:$BK$301,0)))</f>
        <v/>
      </c>
      <c r="F77" s="34">
        <f>IF($A77="","",INDEX(Candidates!$BL$2:$BL$301,MATCH(LARGE(Candidates!$BK$2:$BK$301,$A77),Candidates!$BK$2:$BK$301,0))&amp;"")</f>
        <v/>
      </c>
      <c r="G77" s="34">
        <f>IF($A77="","",INDEX(Candidates!$AV$2:$AV$301,MATCH(LARGE(Candidates!$BK$2:$BK$301,$A77),Candidates!$BK$2:$BK$301,0))&amp;"")</f>
        <v/>
      </c>
      <c r="H77" s="34">
        <f>IF($A77="","",INDEX(Candidates!$AW$2:$AW$301,MATCH(LARGE(Candidates!$BK$2:$BK$301,$A77),Candidates!$BK$2:$BK$301,0))&amp;"")</f>
        <v/>
      </c>
    </row>
    <row r="78">
      <c r="A78" s="32">
        <f>IF(ISNUMBER(LARGE(Candidates!$BK$2:$BK$301,74)),74,"")</f>
        <v/>
      </c>
      <c r="B78" s="33">
        <f>IF($A78="","",INDEX(Candidates!$AR$2:$AR$301,MATCH(LARGE(Candidates!$BK$2:$BK$301,$A78),Candidates!$BK$2:$BK$301,0))&amp;"")</f>
        <v/>
      </c>
      <c r="C78" s="34">
        <f>IF($A78="","",INDEX(Candidates!$AS$2:$AS$301,MATCH(LARGE(Candidates!$BK$2:$BK$301,$A78),Candidates!$BK$2:$BK$301,0))&amp;"")</f>
        <v/>
      </c>
      <c r="D78" s="34">
        <f>IF($A78="","",INDEX(Candidates!$AD$2:$AD$301,MATCH(LARGE(Candidates!$BK$2:$BK$301,$A78),Candidates!$BK$2:$BK$301,0))&amp;"")</f>
        <v/>
      </c>
      <c r="E78" s="32">
        <f>IF($A78="","",INDEX(Candidates!$BJ$2:$BJ$301,MATCH(LARGE(Candidates!$BK$2:$BK$301,$A78),Candidates!$BK$2:$BK$301,0)))</f>
        <v/>
      </c>
      <c r="F78" s="34">
        <f>IF($A78="","",INDEX(Candidates!$BL$2:$BL$301,MATCH(LARGE(Candidates!$BK$2:$BK$301,$A78),Candidates!$BK$2:$BK$301,0))&amp;"")</f>
        <v/>
      </c>
      <c r="G78" s="34">
        <f>IF($A78="","",INDEX(Candidates!$AV$2:$AV$301,MATCH(LARGE(Candidates!$BK$2:$BK$301,$A78),Candidates!$BK$2:$BK$301,0))&amp;"")</f>
        <v/>
      </c>
      <c r="H78" s="34">
        <f>IF($A78="","",INDEX(Candidates!$AW$2:$AW$301,MATCH(LARGE(Candidates!$BK$2:$BK$301,$A78),Candidates!$BK$2:$BK$301,0))&amp;"")</f>
        <v/>
      </c>
    </row>
    <row r="79">
      <c r="A79" s="32">
        <f>IF(ISNUMBER(LARGE(Candidates!$BK$2:$BK$301,75)),75,"")</f>
        <v/>
      </c>
      <c r="B79" s="33">
        <f>IF($A79="","",INDEX(Candidates!$AR$2:$AR$301,MATCH(LARGE(Candidates!$BK$2:$BK$301,$A79),Candidates!$BK$2:$BK$301,0))&amp;"")</f>
        <v/>
      </c>
      <c r="C79" s="34">
        <f>IF($A79="","",INDEX(Candidates!$AS$2:$AS$301,MATCH(LARGE(Candidates!$BK$2:$BK$301,$A79),Candidates!$BK$2:$BK$301,0))&amp;"")</f>
        <v/>
      </c>
      <c r="D79" s="34">
        <f>IF($A79="","",INDEX(Candidates!$AD$2:$AD$301,MATCH(LARGE(Candidates!$BK$2:$BK$301,$A79),Candidates!$BK$2:$BK$301,0))&amp;"")</f>
        <v/>
      </c>
      <c r="E79" s="32">
        <f>IF($A79="","",INDEX(Candidates!$BJ$2:$BJ$301,MATCH(LARGE(Candidates!$BK$2:$BK$301,$A79),Candidates!$BK$2:$BK$301,0)))</f>
        <v/>
      </c>
      <c r="F79" s="34">
        <f>IF($A79="","",INDEX(Candidates!$BL$2:$BL$301,MATCH(LARGE(Candidates!$BK$2:$BK$301,$A79),Candidates!$BK$2:$BK$301,0))&amp;"")</f>
        <v/>
      </c>
      <c r="G79" s="34">
        <f>IF($A79="","",INDEX(Candidates!$AV$2:$AV$301,MATCH(LARGE(Candidates!$BK$2:$BK$301,$A79),Candidates!$BK$2:$BK$301,0))&amp;"")</f>
        <v/>
      </c>
      <c r="H79" s="34">
        <f>IF($A79="","",INDEX(Candidates!$AW$2:$AW$301,MATCH(LARGE(Candidates!$BK$2:$BK$301,$A79),Candidates!$BK$2:$BK$301,0))&amp;"")</f>
        <v/>
      </c>
    </row>
    <row r="80">
      <c r="A80" s="32">
        <f>IF(ISNUMBER(LARGE(Candidates!$BK$2:$BK$301,76)),76,"")</f>
        <v/>
      </c>
      <c r="B80" s="33">
        <f>IF($A80="","",INDEX(Candidates!$AR$2:$AR$301,MATCH(LARGE(Candidates!$BK$2:$BK$301,$A80),Candidates!$BK$2:$BK$301,0))&amp;"")</f>
        <v/>
      </c>
      <c r="C80" s="34">
        <f>IF($A80="","",INDEX(Candidates!$AS$2:$AS$301,MATCH(LARGE(Candidates!$BK$2:$BK$301,$A80),Candidates!$BK$2:$BK$301,0))&amp;"")</f>
        <v/>
      </c>
      <c r="D80" s="34">
        <f>IF($A80="","",INDEX(Candidates!$AD$2:$AD$301,MATCH(LARGE(Candidates!$BK$2:$BK$301,$A80),Candidates!$BK$2:$BK$301,0))&amp;"")</f>
        <v/>
      </c>
      <c r="E80" s="32">
        <f>IF($A80="","",INDEX(Candidates!$BJ$2:$BJ$301,MATCH(LARGE(Candidates!$BK$2:$BK$301,$A80),Candidates!$BK$2:$BK$301,0)))</f>
        <v/>
      </c>
      <c r="F80" s="34">
        <f>IF($A80="","",INDEX(Candidates!$BL$2:$BL$301,MATCH(LARGE(Candidates!$BK$2:$BK$301,$A80),Candidates!$BK$2:$BK$301,0))&amp;"")</f>
        <v/>
      </c>
      <c r="G80" s="34">
        <f>IF($A80="","",INDEX(Candidates!$AV$2:$AV$301,MATCH(LARGE(Candidates!$BK$2:$BK$301,$A80),Candidates!$BK$2:$BK$301,0))&amp;"")</f>
        <v/>
      </c>
      <c r="H80" s="34">
        <f>IF($A80="","",INDEX(Candidates!$AW$2:$AW$301,MATCH(LARGE(Candidates!$BK$2:$BK$301,$A80),Candidates!$BK$2:$BK$301,0))&amp;"")</f>
        <v/>
      </c>
    </row>
    <row r="81">
      <c r="A81" s="32">
        <f>IF(ISNUMBER(LARGE(Candidates!$BK$2:$BK$301,77)),77,"")</f>
        <v/>
      </c>
      <c r="B81" s="33">
        <f>IF($A81="","",INDEX(Candidates!$AR$2:$AR$301,MATCH(LARGE(Candidates!$BK$2:$BK$301,$A81),Candidates!$BK$2:$BK$301,0))&amp;"")</f>
        <v/>
      </c>
      <c r="C81" s="34">
        <f>IF($A81="","",INDEX(Candidates!$AS$2:$AS$301,MATCH(LARGE(Candidates!$BK$2:$BK$301,$A81),Candidates!$BK$2:$BK$301,0))&amp;"")</f>
        <v/>
      </c>
      <c r="D81" s="34">
        <f>IF($A81="","",INDEX(Candidates!$AD$2:$AD$301,MATCH(LARGE(Candidates!$BK$2:$BK$301,$A81),Candidates!$BK$2:$BK$301,0))&amp;"")</f>
        <v/>
      </c>
      <c r="E81" s="32">
        <f>IF($A81="","",INDEX(Candidates!$BJ$2:$BJ$301,MATCH(LARGE(Candidates!$BK$2:$BK$301,$A81),Candidates!$BK$2:$BK$301,0)))</f>
        <v/>
      </c>
      <c r="F81" s="34">
        <f>IF($A81="","",INDEX(Candidates!$BL$2:$BL$301,MATCH(LARGE(Candidates!$BK$2:$BK$301,$A81),Candidates!$BK$2:$BK$301,0))&amp;"")</f>
        <v/>
      </c>
      <c r="G81" s="34">
        <f>IF($A81="","",INDEX(Candidates!$AV$2:$AV$301,MATCH(LARGE(Candidates!$BK$2:$BK$301,$A81),Candidates!$BK$2:$BK$301,0))&amp;"")</f>
        <v/>
      </c>
      <c r="H81" s="34">
        <f>IF($A81="","",INDEX(Candidates!$AW$2:$AW$301,MATCH(LARGE(Candidates!$BK$2:$BK$301,$A81),Candidates!$BK$2:$BK$301,0))&amp;"")</f>
        <v/>
      </c>
    </row>
    <row r="82">
      <c r="A82" s="32">
        <f>IF(ISNUMBER(LARGE(Candidates!$BK$2:$BK$301,78)),78,"")</f>
        <v/>
      </c>
      <c r="B82" s="33">
        <f>IF($A82="","",INDEX(Candidates!$AR$2:$AR$301,MATCH(LARGE(Candidates!$BK$2:$BK$301,$A82),Candidates!$BK$2:$BK$301,0))&amp;"")</f>
        <v/>
      </c>
      <c r="C82" s="34">
        <f>IF($A82="","",INDEX(Candidates!$AS$2:$AS$301,MATCH(LARGE(Candidates!$BK$2:$BK$301,$A82),Candidates!$BK$2:$BK$301,0))&amp;"")</f>
        <v/>
      </c>
      <c r="D82" s="34">
        <f>IF($A82="","",INDEX(Candidates!$AD$2:$AD$301,MATCH(LARGE(Candidates!$BK$2:$BK$301,$A82),Candidates!$BK$2:$BK$301,0))&amp;"")</f>
        <v/>
      </c>
      <c r="E82" s="32">
        <f>IF($A82="","",INDEX(Candidates!$BJ$2:$BJ$301,MATCH(LARGE(Candidates!$BK$2:$BK$301,$A82),Candidates!$BK$2:$BK$301,0)))</f>
        <v/>
      </c>
      <c r="F82" s="34">
        <f>IF($A82="","",INDEX(Candidates!$BL$2:$BL$301,MATCH(LARGE(Candidates!$BK$2:$BK$301,$A82),Candidates!$BK$2:$BK$301,0))&amp;"")</f>
        <v/>
      </c>
      <c r="G82" s="34">
        <f>IF($A82="","",INDEX(Candidates!$AV$2:$AV$301,MATCH(LARGE(Candidates!$BK$2:$BK$301,$A82),Candidates!$BK$2:$BK$301,0))&amp;"")</f>
        <v/>
      </c>
      <c r="H82" s="34">
        <f>IF($A82="","",INDEX(Candidates!$AW$2:$AW$301,MATCH(LARGE(Candidates!$BK$2:$BK$301,$A82),Candidates!$BK$2:$BK$301,0))&amp;"")</f>
        <v/>
      </c>
    </row>
    <row r="83">
      <c r="A83" s="32">
        <f>IF(ISNUMBER(LARGE(Candidates!$BK$2:$BK$301,79)),79,"")</f>
        <v/>
      </c>
      <c r="B83" s="33">
        <f>IF($A83="","",INDEX(Candidates!$AR$2:$AR$301,MATCH(LARGE(Candidates!$BK$2:$BK$301,$A83),Candidates!$BK$2:$BK$301,0))&amp;"")</f>
        <v/>
      </c>
      <c r="C83" s="34">
        <f>IF($A83="","",INDEX(Candidates!$AS$2:$AS$301,MATCH(LARGE(Candidates!$BK$2:$BK$301,$A83),Candidates!$BK$2:$BK$301,0))&amp;"")</f>
        <v/>
      </c>
      <c r="D83" s="34">
        <f>IF($A83="","",INDEX(Candidates!$AD$2:$AD$301,MATCH(LARGE(Candidates!$BK$2:$BK$301,$A83),Candidates!$BK$2:$BK$301,0))&amp;"")</f>
        <v/>
      </c>
      <c r="E83" s="32">
        <f>IF($A83="","",INDEX(Candidates!$BJ$2:$BJ$301,MATCH(LARGE(Candidates!$BK$2:$BK$301,$A83),Candidates!$BK$2:$BK$301,0)))</f>
        <v/>
      </c>
      <c r="F83" s="34">
        <f>IF($A83="","",INDEX(Candidates!$BL$2:$BL$301,MATCH(LARGE(Candidates!$BK$2:$BK$301,$A83),Candidates!$BK$2:$BK$301,0))&amp;"")</f>
        <v/>
      </c>
      <c r="G83" s="34">
        <f>IF($A83="","",INDEX(Candidates!$AV$2:$AV$301,MATCH(LARGE(Candidates!$BK$2:$BK$301,$A83),Candidates!$BK$2:$BK$301,0))&amp;"")</f>
        <v/>
      </c>
      <c r="H83" s="34">
        <f>IF($A83="","",INDEX(Candidates!$AW$2:$AW$301,MATCH(LARGE(Candidates!$BK$2:$BK$301,$A83),Candidates!$BK$2:$BK$301,0))&amp;"")</f>
        <v/>
      </c>
    </row>
    <row r="84">
      <c r="A84" s="32">
        <f>IF(ISNUMBER(LARGE(Candidates!$BK$2:$BK$301,80)),80,"")</f>
        <v/>
      </c>
      <c r="B84" s="33">
        <f>IF($A84="","",INDEX(Candidates!$AR$2:$AR$301,MATCH(LARGE(Candidates!$BK$2:$BK$301,$A84),Candidates!$BK$2:$BK$301,0))&amp;"")</f>
        <v/>
      </c>
      <c r="C84" s="34">
        <f>IF($A84="","",INDEX(Candidates!$AS$2:$AS$301,MATCH(LARGE(Candidates!$BK$2:$BK$301,$A84),Candidates!$BK$2:$BK$301,0))&amp;"")</f>
        <v/>
      </c>
      <c r="D84" s="34">
        <f>IF($A84="","",INDEX(Candidates!$AD$2:$AD$301,MATCH(LARGE(Candidates!$BK$2:$BK$301,$A84),Candidates!$BK$2:$BK$301,0))&amp;"")</f>
        <v/>
      </c>
      <c r="E84" s="32">
        <f>IF($A84="","",INDEX(Candidates!$BJ$2:$BJ$301,MATCH(LARGE(Candidates!$BK$2:$BK$301,$A84),Candidates!$BK$2:$BK$301,0)))</f>
        <v/>
      </c>
      <c r="F84" s="34">
        <f>IF($A84="","",INDEX(Candidates!$BL$2:$BL$301,MATCH(LARGE(Candidates!$BK$2:$BK$301,$A84),Candidates!$BK$2:$BK$301,0))&amp;"")</f>
        <v/>
      </c>
      <c r="G84" s="34">
        <f>IF($A84="","",INDEX(Candidates!$AV$2:$AV$301,MATCH(LARGE(Candidates!$BK$2:$BK$301,$A84),Candidates!$BK$2:$BK$301,0))&amp;"")</f>
        <v/>
      </c>
      <c r="H84" s="34">
        <f>IF($A84="","",INDEX(Candidates!$AW$2:$AW$301,MATCH(LARGE(Candidates!$BK$2:$BK$301,$A84),Candidates!$BK$2:$BK$301,0))&amp;"")</f>
        <v/>
      </c>
    </row>
    <row r="85">
      <c r="A85" s="32">
        <f>IF(ISNUMBER(LARGE(Candidates!$BK$2:$BK$301,81)),81,"")</f>
        <v/>
      </c>
      <c r="B85" s="33">
        <f>IF($A85="","",INDEX(Candidates!$AR$2:$AR$301,MATCH(LARGE(Candidates!$BK$2:$BK$301,$A85),Candidates!$BK$2:$BK$301,0))&amp;"")</f>
        <v/>
      </c>
      <c r="C85" s="34">
        <f>IF($A85="","",INDEX(Candidates!$AS$2:$AS$301,MATCH(LARGE(Candidates!$BK$2:$BK$301,$A85),Candidates!$BK$2:$BK$301,0))&amp;"")</f>
        <v/>
      </c>
      <c r="D85" s="34">
        <f>IF($A85="","",INDEX(Candidates!$AD$2:$AD$301,MATCH(LARGE(Candidates!$BK$2:$BK$301,$A85),Candidates!$BK$2:$BK$301,0))&amp;"")</f>
        <v/>
      </c>
      <c r="E85" s="32">
        <f>IF($A85="","",INDEX(Candidates!$BJ$2:$BJ$301,MATCH(LARGE(Candidates!$BK$2:$BK$301,$A85),Candidates!$BK$2:$BK$301,0)))</f>
        <v/>
      </c>
      <c r="F85" s="34">
        <f>IF($A85="","",INDEX(Candidates!$BL$2:$BL$301,MATCH(LARGE(Candidates!$BK$2:$BK$301,$A85),Candidates!$BK$2:$BK$301,0))&amp;"")</f>
        <v/>
      </c>
      <c r="G85" s="34">
        <f>IF($A85="","",INDEX(Candidates!$AV$2:$AV$301,MATCH(LARGE(Candidates!$BK$2:$BK$301,$A85),Candidates!$BK$2:$BK$301,0))&amp;"")</f>
        <v/>
      </c>
      <c r="H85" s="34">
        <f>IF($A85="","",INDEX(Candidates!$AW$2:$AW$301,MATCH(LARGE(Candidates!$BK$2:$BK$301,$A85),Candidates!$BK$2:$BK$301,0))&amp;"")</f>
        <v/>
      </c>
    </row>
    <row r="86">
      <c r="A86" s="32">
        <f>IF(ISNUMBER(LARGE(Candidates!$BK$2:$BK$301,82)),82,"")</f>
        <v/>
      </c>
      <c r="B86" s="33">
        <f>IF($A86="","",INDEX(Candidates!$AR$2:$AR$301,MATCH(LARGE(Candidates!$BK$2:$BK$301,$A86),Candidates!$BK$2:$BK$301,0))&amp;"")</f>
        <v/>
      </c>
      <c r="C86" s="34">
        <f>IF($A86="","",INDEX(Candidates!$AS$2:$AS$301,MATCH(LARGE(Candidates!$BK$2:$BK$301,$A86),Candidates!$BK$2:$BK$301,0))&amp;"")</f>
        <v/>
      </c>
      <c r="D86" s="34">
        <f>IF($A86="","",INDEX(Candidates!$AD$2:$AD$301,MATCH(LARGE(Candidates!$BK$2:$BK$301,$A86),Candidates!$BK$2:$BK$301,0))&amp;"")</f>
        <v/>
      </c>
      <c r="E86" s="32">
        <f>IF($A86="","",INDEX(Candidates!$BJ$2:$BJ$301,MATCH(LARGE(Candidates!$BK$2:$BK$301,$A86),Candidates!$BK$2:$BK$301,0)))</f>
        <v/>
      </c>
      <c r="F86" s="34">
        <f>IF($A86="","",INDEX(Candidates!$BL$2:$BL$301,MATCH(LARGE(Candidates!$BK$2:$BK$301,$A86),Candidates!$BK$2:$BK$301,0))&amp;"")</f>
        <v/>
      </c>
      <c r="G86" s="34">
        <f>IF($A86="","",INDEX(Candidates!$AV$2:$AV$301,MATCH(LARGE(Candidates!$BK$2:$BK$301,$A86),Candidates!$BK$2:$BK$301,0))&amp;"")</f>
        <v/>
      </c>
      <c r="H86" s="34">
        <f>IF($A86="","",INDEX(Candidates!$AW$2:$AW$301,MATCH(LARGE(Candidates!$BK$2:$BK$301,$A86),Candidates!$BK$2:$BK$301,0))&amp;"")</f>
        <v/>
      </c>
    </row>
    <row r="87">
      <c r="A87" s="32">
        <f>IF(ISNUMBER(LARGE(Candidates!$BK$2:$BK$301,83)),83,"")</f>
        <v/>
      </c>
      <c r="B87" s="33">
        <f>IF($A87="","",INDEX(Candidates!$AR$2:$AR$301,MATCH(LARGE(Candidates!$BK$2:$BK$301,$A87),Candidates!$BK$2:$BK$301,0))&amp;"")</f>
        <v/>
      </c>
      <c r="C87" s="34">
        <f>IF($A87="","",INDEX(Candidates!$AS$2:$AS$301,MATCH(LARGE(Candidates!$BK$2:$BK$301,$A87),Candidates!$BK$2:$BK$301,0))&amp;"")</f>
        <v/>
      </c>
      <c r="D87" s="34">
        <f>IF($A87="","",INDEX(Candidates!$AD$2:$AD$301,MATCH(LARGE(Candidates!$BK$2:$BK$301,$A87),Candidates!$BK$2:$BK$301,0))&amp;"")</f>
        <v/>
      </c>
      <c r="E87" s="32">
        <f>IF($A87="","",INDEX(Candidates!$BJ$2:$BJ$301,MATCH(LARGE(Candidates!$BK$2:$BK$301,$A87),Candidates!$BK$2:$BK$301,0)))</f>
        <v/>
      </c>
      <c r="F87" s="34">
        <f>IF($A87="","",INDEX(Candidates!$BL$2:$BL$301,MATCH(LARGE(Candidates!$BK$2:$BK$301,$A87),Candidates!$BK$2:$BK$301,0))&amp;"")</f>
        <v/>
      </c>
      <c r="G87" s="34">
        <f>IF($A87="","",INDEX(Candidates!$AV$2:$AV$301,MATCH(LARGE(Candidates!$BK$2:$BK$301,$A87),Candidates!$BK$2:$BK$301,0))&amp;"")</f>
        <v/>
      </c>
      <c r="H87" s="34">
        <f>IF($A87="","",INDEX(Candidates!$AW$2:$AW$301,MATCH(LARGE(Candidates!$BK$2:$BK$301,$A87),Candidates!$BK$2:$BK$301,0))&amp;"")</f>
        <v/>
      </c>
    </row>
    <row r="88">
      <c r="A88" s="32">
        <f>IF(ISNUMBER(LARGE(Candidates!$BK$2:$BK$301,84)),84,"")</f>
        <v/>
      </c>
      <c r="B88" s="33">
        <f>IF($A88="","",INDEX(Candidates!$AR$2:$AR$301,MATCH(LARGE(Candidates!$BK$2:$BK$301,$A88),Candidates!$BK$2:$BK$301,0))&amp;"")</f>
        <v/>
      </c>
      <c r="C88" s="34">
        <f>IF($A88="","",INDEX(Candidates!$AS$2:$AS$301,MATCH(LARGE(Candidates!$BK$2:$BK$301,$A88),Candidates!$BK$2:$BK$301,0))&amp;"")</f>
        <v/>
      </c>
      <c r="D88" s="34">
        <f>IF($A88="","",INDEX(Candidates!$AD$2:$AD$301,MATCH(LARGE(Candidates!$BK$2:$BK$301,$A88),Candidates!$BK$2:$BK$301,0))&amp;"")</f>
        <v/>
      </c>
      <c r="E88" s="32">
        <f>IF($A88="","",INDEX(Candidates!$BJ$2:$BJ$301,MATCH(LARGE(Candidates!$BK$2:$BK$301,$A88),Candidates!$BK$2:$BK$301,0)))</f>
        <v/>
      </c>
      <c r="F88" s="34">
        <f>IF($A88="","",INDEX(Candidates!$BL$2:$BL$301,MATCH(LARGE(Candidates!$BK$2:$BK$301,$A88),Candidates!$BK$2:$BK$301,0))&amp;"")</f>
        <v/>
      </c>
      <c r="G88" s="34">
        <f>IF($A88="","",INDEX(Candidates!$AV$2:$AV$301,MATCH(LARGE(Candidates!$BK$2:$BK$301,$A88),Candidates!$BK$2:$BK$301,0))&amp;"")</f>
        <v/>
      </c>
      <c r="H88" s="34">
        <f>IF($A88="","",INDEX(Candidates!$AW$2:$AW$301,MATCH(LARGE(Candidates!$BK$2:$BK$301,$A88),Candidates!$BK$2:$BK$301,0))&amp;"")</f>
        <v/>
      </c>
    </row>
    <row r="89">
      <c r="A89" s="32">
        <f>IF(ISNUMBER(LARGE(Candidates!$BK$2:$BK$301,85)),85,"")</f>
        <v/>
      </c>
      <c r="B89" s="33">
        <f>IF($A89="","",INDEX(Candidates!$AR$2:$AR$301,MATCH(LARGE(Candidates!$BK$2:$BK$301,$A89),Candidates!$BK$2:$BK$301,0))&amp;"")</f>
        <v/>
      </c>
      <c r="C89" s="34">
        <f>IF($A89="","",INDEX(Candidates!$AS$2:$AS$301,MATCH(LARGE(Candidates!$BK$2:$BK$301,$A89),Candidates!$BK$2:$BK$301,0))&amp;"")</f>
        <v/>
      </c>
      <c r="D89" s="34">
        <f>IF($A89="","",INDEX(Candidates!$AD$2:$AD$301,MATCH(LARGE(Candidates!$BK$2:$BK$301,$A89),Candidates!$BK$2:$BK$301,0))&amp;"")</f>
        <v/>
      </c>
      <c r="E89" s="32">
        <f>IF($A89="","",INDEX(Candidates!$BJ$2:$BJ$301,MATCH(LARGE(Candidates!$BK$2:$BK$301,$A89),Candidates!$BK$2:$BK$301,0)))</f>
        <v/>
      </c>
      <c r="F89" s="34">
        <f>IF($A89="","",INDEX(Candidates!$BL$2:$BL$301,MATCH(LARGE(Candidates!$BK$2:$BK$301,$A89),Candidates!$BK$2:$BK$301,0))&amp;"")</f>
        <v/>
      </c>
      <c r="G89" s="34">
        <f>IF($A89="","",INDEX(Candidates!$AV$2:$AV$301,MATCH(LARGE(Candidates!$BK$2:$BK$301,$A89),Candidates!$BK$2:$BK$301,0))&amp;"")</f>
        <v/>
      </c>
      <c r="H89" s="34">
        <f>IF($A89="","",INDEX(Candidates!$AW$2:$AW$301,MATCH(LARGE(Candidates!$BK$2:$BK$301,$A89),Candidates!$BK$2:$BK$301,0))&amp;"")</f>
        <v/>
      </c>
    </row>
    <row r="90">
      <c r="A90" s="32">
        <f>IF(ISNUMBER(LARGE(Candidates!$BK$2:$BK$301,86)),86,"")</f>
        <v/>
      </c>
      <c r="B90" s="33">
        <f>IF($A90="","",INDEX(Candidates!$AR$2:$AR$301,MATCH(LARGE(Candidates!$BK$2:$BK$301,$A90),Candidates!$BK$2:$BK$301,0))&amp;"")</f>
        <v/>
      </c>
      <c r="C90" s="34">
        <f>IF($A90="","",INDEX(Candidates!$AS$2:$AS$301,MATCH(LARGE(Candidates!$BK$2:$BK$301,$A90),Candidates!$BK$2:$BK$301,0))&amp;"")</f>
        <v/>
      </c>
      <c r="D90" s="34">
        <f>IF($A90="","",INDEX(Candidates!$AD$2:$AD$301,MATCH(LARGE(Candidates!$BK$2:$BK$301,$A90),Candidates!$BK$2:$BK$301,0))&amp;"")</f>
        <v/>
      </c>
      <c r="E90" s="32">
        <f>IF($A90="","",INDEX(Candidates!$BJ$2:$BJ$301,MATCH(LARGE(Candidates!$BK$2:$BK$301,$A90),Candidates!$BK$2:$BK$301,0)))</f>
        <v/>
      </c>
      <c r="F90" s="34">
        <f>IF($A90="","",INDEX(Candidates!$BL$2:$BL$301,MATCH(LARGE(Candidates!$BK$2:$BK$301,$A90),Candidates!$BK$2:$BK$301,0))&amp;"")</f>
        <v/>
      </c>
      <c r="G90" s="34">
        <f>IF($A90="","",INDEX(Candidates!$AV$2:$AV$301,MATCH(LARGE(Candidates!$BK$2:$BK$301,$A90),Candidates!$BK$2:$BK$301,0))&amp;"")</f>
        <v/>
      </c>
      <c r="H90" s="34">
        <f>IF($A90="","",INDEX(Candidates!$AW$2:$AW$301,MATCH(LARGE(Candidates!$BK$2:$BK$301,$A90),Candidates!$BK$2:$BK$301,0))&amp;"")</f>
        <v/>
      </c>
    </row>
    <row r="91">
      <c r="A91" s="32">
        <f>IF(ISNUMBER(LARGE(Candidates!$BK$2:$BK$301,87)),87,"")</f>
        <v/>
      </c>
      <c r="B91" s="33">
        <f>IF($A91="","",INDEX(Candidates!$AR$2:$AR$301,MATCH(LARGE(Candidates!$BK$2:$BK$301,$A91),Candidates!$BK$2:$BK$301,0))&amp;"")</f>
        <v/>
      </c>
      <c r="C91" s="34">
        <f>IF($A91="","",INDEX(Candidates!$AS$2:$AS$301,MATCH(LARGE(Candidates!$BK$2:$BK$301,$A91),Candidates!$BK$2:$BK$301,0))&amp;"")</f>
        <v/>
      </c>
      <c r="D91" s="34">
        <f>IF($A91="","",INDEX(Candidates!$AD$2:$AD$301,MATCH(LARGE(Candidates!$BK$2:$BK$301,$A91),Candidates!$BK$2:$BK$301,0))&amp;"")</f>
        <v/>
      </c>
      <c r="E91" s="32">
        <f>IF($A91="","",INDEX(Candidates!$BJ$2:$BJ$301,MATCH(LARGE(Candidates!$BK$2:$BK$301,$A91),Candidates!$BK$2:$BK$301,0)))</f>
        <v/>
      </c>
      <c r="F91" s="34">
        <f>IF($A91="","",INDEX(Candidates!$BL$2:$BL$301,MATCH(LARGE(Candidates!$BK$2:$BK$301,$A91),Candidates!$BK$2:$BK$301,0))&amp;"")</f>
        <v/>
      </c>
      <c r="G91" s="34">
        <f>IF($A91="","",INDEX(Candidates!$AV$2:$AV$301,MATCH(LARGE(Candidates!$BK$2:$BK$301,$A91),Candidates!$BK$2:$BK$301,0))&amp;"")</f>
        <v/>
      </c>
      <c r="H91" s="34">
        <f>IF($A91="","",INDEX(Candidates!$AW$2:$AW$301,MATCH(LARGE(Candidates!$BK$2:$BK$301,$A91),Candidates!$BK$2:$BK$301,0))&amp;"")</f>
        <v/>
      </c>
    </row>
    <row r="92">
      <c r="A92" s="32">
        <f>IF(ISNUMBER(LARGE(Candidates!$BK$2:$BK$301,88)),88,"")</f>
        <v/>
      </c>
      <c r="B92" s="33">
        <f>IF($A92="","",INDEX(Candidates!$AR$2:$AR$301,MATCH(LARGE(Candidates!$BK$2:$BK$301,$A92),Candidates!$BK$2:$BK$301,0))&amp;"")</f>
        <v/>
      </c>
      <c r="C92" s="34">
        <f>IF($A92="","",INDEX(Candidates!$AS$2:$AS$301,MATCH(LARGE(Candidates!$BK$2:$BK$301,$A92),Candidates!$BK$2:$BK$301,0))&amp;"")</f>
        <v/>
      </c>
      <c r="D92" s="34">
        <f>IF($A92="","",INDEX(Candidates!$AD$2:$AD$301,MATCH(LARGE(Candidates!$BK$2:$BK$301,$A92),Candidates!$BK$2:$BK$301,0))&amp;"")</f>
        <v/>
      </c>
      <c r="E92" s="32">
        <f>IF($A92="","",INDEX(Candidates!$BJ$2:$BJ$301,MATCH(LARGE(Candidates!$BK$2:$BK$301,$A92),Candidates!$BK$2:$BK$301,0)))</f>
        <v/>
      </c>
      <c r="F92" s="34">
        <f>IF($A92="","",INDEX(Candidates!$BL$2:$BL$301,MATCH(LARGE(Candidates!$BK$2:$BK$301,$A92),Candidates!$BK$2:$BK$301,0))&amp;"")</f>
        <v/>
      </c>
      <c r="G92" s="34">
        <f>IF($A92="","",INDEX(Candidates!$AV$2:$AV$301,MATCH(LARGE(Candidates!$BK$2:$BK$301,$A92),Candidates!$BK$2:$BK$301,0))&amp;"")</f>
        <v/>
      </c>
      <c r="H92" s="34">
        <f>IF($A92="","",INDEX(Candidates!$AW$2:$AW$301,MATCH(LARGE(Candidates!$BK$2:$BK$301,$A92),Candidates!$BK$2:$BK$301,0))&amp;"")</f>
        <v/>
      </c>
    </row>
    <row r="93">
      <c r="A93" s="32">
        <f>IF(ISNUMBER(LARGE(Candidates!$BK$2:$BK$301,89)),89,"")</f>
        <v/>
      </c>
      <c r="B93" s="33">
        <f>IF($A93="","",INDEX(Candidates!$AR$2:$AR$301,MATCH(LARGE(Candidates!$BK$2:$BK$301,$A93),Candidates!$BK$2:$BK$301,0))&amp;"")</f>
        <v/>
      </c>
      <c r="C93" s="34">
        <f>IF($A93="","",INDEX(Candidates!$AS$2:$AS$301,MATCH(LARGE(Candidates!$BK$2:$BK$301,$A93),Candidates!$BK$2:$BK$301,0))&amp;"")</f>
        <v/>
      </c>
      <c r="D93" s="34">
        <f>IF($A93="","",INDEX(Candidates!$AD$2:$AD$301,MATCH(LARGE(Candidates!$BK$2:$BK$301,$A93),Candidates!$BK$2:$BK$301,0))&amp;"")</f>
        <v/>
      </c>
      <c r="E93" s="32">
        <f>IF($A93="","",INDEX(Candidates!$BJ$2:$BJ$301,MATCH(LARGE(Candidates!$BK$2:$BK$301,$A93),Candidates!$BK$2:$BK$301,0)))</f>
        <v/>
      </c>
      <c r="F93" s="34">
        <f>IF($A93="","",INDEX(Candidates!$BL$2:$BL$301,MATCH(LARGE(Candidates!$BK$2:$BK$301,$A93),Candidates!$BK$2:$BK$301,0))&amp;"")</f>
        <v/>
      </c>
      <c r="G93" s="34">
        <f>IF($A93="","",INDEX(Candidates!$AV$2:$AV$301,MATCH(LARGE(Candidates!$BK$2:$BK$301,$A93),Candidates!$BK$2:$BK$301,0))&amp;"")</f>
        <v/>
      </c>
      <c r="H93" s="34">
        <f>IF($A93="","",INDEX(Candidates!$AW$2:$AW$301,MATCH(LARGE(Candidates!$BK$2:$BK$301,$A93),Candidates!$BK$2:$BK$301,0))&amp;"")</f>
        <v/>
      </c>
    </row>
    <row r="94">
      <c r="A94" s="32">
        <f>IF(ISNUMBER(LARGE(Candidates!$BK$2:$BK$301,90)),90,"")</f>
        <v/>
      </c>
      <c r="B94" s="33">
        <f>IF($A94="","",INDEX(Candidates!$AR$2:$AR$301,MATCH(LARGE(Candidates!$BK$2:$BK$301,$A94),Candidates!$BK$2:$BK$301,0))&amp;"")</f>
        <v/>
      </c>
      <c r="C94" s="34">
        <f>IF($A94="","",INDEX(Candidates!$AS$2:$AS$301,MATCH(LARGE(Candidates!$BK$2:$BK$301,$A94),Candidates!$BK$2:$BK$301,0))&amp;"")</f>
        <v/>
      </c>
      <c r="D94" s="34">
        <f>IF($A94="","",INDEX(Candidates!$AD$2:$AD$301,MATCH(LARGE(Candidates!$BK$2:$BK$301,$A94),Candidates!$BK$2:$BK$301,0))&amp;"")</f>
        <v/>
      </c>
      <c r="E94" s="32">
        <f>IF($A94="","",INDEX(Candidates!$BJ$2:$BJ$301,MATCH(LARGE(Candidates!$BK$2:$BK$301,$A94),Candidates!$BK$2:$BK$301,0)))</f>
        <v/>
      </c>
      <c r="F94" s="34">
        <f>IF($A94="","",INDEX(Candidates!$BL$2:$BL$301,MATCH(LARGE(Candidates!$BK$2:$BK$301,$A94),Candidates!$BK$2:$BK$301,0))&amp;"")</f>
        <v/>
      </c>
      <c r="G94" s="34">
        <f>IF($A94="","",INDEX(Candidates!$AV$2:$AV$301,MATCH(LARGE(Candidates!$BK$2:$BK$301,$A94),Candidates!$BK$2:$BK$301,0))&amp;"")</f>
        <v/>
      </c>
      <c r="H94" s="34">
        <f>IF($A94="","",INDEX(Candidates!$AW$2:$AW$301,MATCH(LARGE(Candidates!$BK$2:$BK$301,$A94),Candidates!$BK$2:$BK$301,0))&amp;"")</f>
        <v/>
      </c>
    </row>
    <row r="95">
      <c r="A95" s="32">
        <f>IF(ISNUMBER(LARGE(Candidates!$BK$2:$BK$301,91)),91,"")</f>
        <v/>
      </c>
      <c r="B95" s="33">
        <f>IF($A95="","",INDEX(Candidates!$AR$2:$AR$301,MATCH(LARGE(Candidates!$BK$2:$BK$301,$A95),Candidates!$BK$2:$BK$301,0))&amp;"")</f>
        <v/>
      </c>
      <c r="C95" s="34">
        <f>IF($A95="","",INDEX(Candidates!$AS$2:$AS$301,MATCH(LARGE(Candidates!$BK$2:$BK$301,$A95),Candidates!$BK$2:$BK$301,0))&amp;"")</f>
        <v/>
      </c>
      <c r="D95" s="34">
        <f>IF($A95="","",INDEX(Candidates!$AD$2:$AD$301,MATCH(LARGE(Candidates!$BK$2:$BK$301,$A95),Candidates!$BK$2:$BK$301,0))&amp;"")</f>
        <v/>
      </c>
      <c r="E95" s="32">
        <f>IF($A95="","",INDEX(Candidates!$BJ$2:$BJ$301,MATCH(LARGE(Candidates!$BK$2:$BK$301,$A95),Candidates!$BK$2:$BK$301,0)))</f>
        <v/>
      </c>
      <c r="F95" s="34">
        <f>IF($A95="","",INDEX(Candidates!$BL$2:$BL$301,MATCH(LARGE(Candidates!$BK$2:$BK$301,$A95),Candidates!$BK$2:$BK$301,0))&amp;"")</f>
        <v/>
      </c>
      <c r="G95" s="34">
        <f>IF($A95="","",INDEX(Candidates!$AV$2:$AV$301,MATCH(LARGE(Candidates!$BK$2:$BK$301,$A95),Candidates!$BK$2:$BK$301,0))&amp;"")</f>
        <v/>
      </c>
      <c r="H95" s="34">
        <f>IF($A95="","",INDEX(Candidates!$AW$2:$AW$301,MATCH(LARGE(Candidates!$BK$2:$BK$301,$A95),Candidates!$BK$2:$BK$301,0))&amp;"")</f>
        <v/>
      </c>
    </row>
    <row r="96">
      <c r="A96" s="32">
        <f>IF(ISNUMBER(LARGE(Candidates!$BK$2:$BK$301,92)),92,"")</f>
        <v/>
      </c>
      <c r="B96" s="33">
        <f>IF($A96="","",INDEX(Candidates!$AR$2:$AR$301,MATCH(LARGE(Candidates!$BK$2:$BK$301,$A96),Candidates!$BK$2:$BK$301,0))&amp;"")</f>
        <v/>
      </c>
      <c r="C96" s="34">
        <f>IF($A96="","",INDEX(Candidates!$AS$2:$AS$301,MATCH(LARGE(Candidates!$BK$2:$BK$301,$A96),Candidates!$BK$2:$BK$301,0))&amp;"")</f>
        <v/>
      </c>
      <c r="D96" s="34">
        <f>IF($A96="","",INDEX(Candidates!$AD$2:$AD$301,MATCH(LARGE(Candidates!$BK$2:$BK$301,$A96),Candidates!$BK$2:$BK$301,0))&amp;"")</f>
        <v/>
      </c>
      <c r="E96" s="32">
        <f>IF($A96="","",INDEX(Candidates!$BJ$2:$BJ$301,MATCH(LARGE(Candidates!$BK$2:$BK$301,$A96),Candidates!$BK$2:$BK$301,0)))</f>
        <v/>
      </c>
      <c r="F96" s="34">
        <f>IF($A96="","",INDEX(Candidates!$BL$2:$BL$301,MATCH(LARGE(Candidates!$BK$2:$BK$301,$A96),Candidates!$BK$2:$BK$301,0))&amp;"")</f>
        <v/>
      </c>
      <c r="G96" s="34">
        <f>IF($A96="","",INDEX(Candidates!$AV$2:$AV$301,MATCH(LARGE(Candidates!$BK$2:$BK$301,$A96),Candidates!$BK$2:$BK$301,0))&amp;"")</f>
        <v/>
      </c>
      <c r="H96" s="34">
        <f>IF($A96="","",INDEX(Candidates!$AW$2:$AW$301,MATCH(LARGE(Candidates!$BK$2:$BK$301,$A96),Candidates!$BK$2:$BK$301,0))&amp;"")</f>
        <v/>
      </c>
    </row>
    <row r="97">
      <c r="A97" s="32">
        <f>IF(ISNUMBER(LARGE(Candidates!$BK$2:$BK$301,93)),93,"")</f>
        <v/>
      </c>
      <c r="B97" s="33">
        <f>IF($A97="","",INDEX(Candidates!$AR$2:$AR$301,MATCH(LARGE(Candidates!$BK$2:$BK$301,$A97),Candidates!$BK$2:$BK$301,0))&amp;"")</f>
        <v/>
      </c>
      <c r="C97" s="34">
        <f>IF($A97="","",INDEX(Candidates!$AS$2:$AS$301,MATCH(LARGE(Candidates!$BK$2:$BK$301,$A97),Candidates!$BK$2:$BK$301,0))&amp;"")</f>
        <v/>
      </c>
      <c r="D97" s="34">
        <f>IF($A97="","",INDEX(Candidates!$AD$2:$AD$301,MATCH(LARGE(Candidates!$BK$2:$BK$301,$A97),Candidates!$BK$2:$BK$301,0))&amp;"")</f>
        <v/>
      </c>
      <c r="E97" s="32">
        <f>IF($A97="","",INDEX(Candidates!$BJ$2:$BJ$301,MATCH(LARGE(Candidates!$BK$2:$BK$301,$A97),Candidates!$BK$2:$BK$301,0)))</f>
        <v/>
      </c>
      <c r="F97" s="34">
        <f>IF($A97="","",INDEX(Candidates!$BL$2:$BL$301,MATCH(LARGE(Candidates!$BK$2:$BK$301,$A97),Candidates!$BK$2:$BK$301,0))&amp;"")</f>
        <v/>
      </c>
      <c r="G97" s="34">
        <f>IF($A97="","",INDEX(Candidates!$AV$2:$AV$301,MATCH(LARGE(Candidates!$BK$2:$BK$301,$A97),Candidates!$BK$2:$BK$301,0))&amp;"")</f>
        <v/>
      </c>
      <c r="H97" s="34">
        <f>IF($A97="","",INDEX(Candidates!$AW$2:$AW$301,MATCH(LARGE(Candidates!$BK$2:$BK$301,$A97),Candidates!$BK$2:$BK$301,0))&amp;"")</f>
        <v/>
      </c>
    </row>
    <row r="98">
      <c r="A98" s="32">
        <f>IF(ISNUMBER(LARGE(Candidates!$BK$2:$BK$301,94)),94,"")</f>
        <v/>
      </c>
      <c r="B98" s="33">
        <f>IF($A98="","",INDEX(Candidates!$AR$2:$AR$301,MATCH(LARGE(Candidates!$BK$2:$BK$301,$A98),Candidates!$BK$2:$BK$301,0))&amp;"")</f>
        <v/>
      </c>
      <c r="C98" s="34">
        <f>IF($A98="","",INDEX(Candidates!$AS$2:$AS$301,MATCH(LARGE(Candidates!$BK$2:$BK$301,$A98),Candidates!$BK$2:$BK$301,0))&amp;"")</f>
        <v/>
      </c>
      <c r="D98" s="34">
        <f>IF($A98="","",INDEX(Candidates!$AD$2:$AD$301,MATCH(LARGE(Candidates!$BK$2:$BK$301,$A98),Candidates!$BK$2:$BK$301,0))&amp;"")</f>
        <v/>
      </c>
      <c r="E98" s="32">
        <f>IF($A98="","",INDEX(Candidates!$BJ$2:$BJ$301,MATCH(LARGE(Candidates!$BK$2:$BK$301,$A98),Candidates!$BK$2:$BK$301,0)))</f>
        <v/>
      </c>
      <c r="F98" s="34">
        <f>IF($A98="","",INDEX(Candidates!$BL$2:$BL$301,MATCH(LARGE(Candidates!$BK$2:$BK$301,$A98),Candidates!$BK$2:$BK$301,0))&amp;"")</f>
        <v/>
      </c>
      <c r="G98" s="34">
        <f>IF($A98="","",INDEX(Candidates!$AV$2:$AV$301,MATCH(LARGE(Candidates!$BK$2:$BK$301,$A98),Candidates!$BK$2:$BK$301,0))&amp;"")</f>
        <v/>
      </c>
      <c r="H98" s="34">
        <f>IF($A98="","",INDEX(Candidates!$AW$2:$AW$301,MATCH(LARGE(Candidates!$BK$2:$BK$301,$A98),Candidates!$BK$2:$BK$301,0))&amp;"")</f>
        <v/>
      </c>
    </row>
    <row r="99">
      <c r="A99" s="32">
        <f>IF(ISNUMBER(LARGE(Candidates!$BK$2:$BK$301,95)),95,"")</f>
        <v/>
      </c>
      <c r="B99" s="33">
        <f>IF($A99="","",INDEX(Candidates!$AR$2:$AR$301,MATCH(LARGE(Candidates!$BK$2:$BK$301,$A99),Candidates!$BK$2:$BK$301,0))&amp;"")</f>
        <v/>
      </c>
      <c r="C99" s="34">
        <f>IF($A99="","",INDEX(Candidates!$AS$2:$AS$301,MATCH(LARGE(Candidates!$BK$2:$BK$301,$A99),Candidates!$BK$2:$BK$301,0))&amp;"")</f>
        <v/>
      </c>
      <c r="D99" s="34">
        <f>IF($A99="","",INDEX(Candidates!$AD$2:$AD$301,MATCH(LARGE(Candidates!$BK$2:$BK$301,$A99),Candidates!$BK$2:$BK$301,0))&amp;"")</f>
        <v/>
      </c>
      <c r="E99" s="32">
        <f>IF($A99="","",INDEX(Candidates!$BJ$2:$BJ$301,MATCH(LARGE(Candidates!$BK$2:$BK$301,$A99),Candidates!$BK$2:$BK$301,0)))</f>
        <v/>
      </c>
      <c r="F99" s="34">
        <f>IF($A99="","",INDEX(Candidates!$BL$2:$BL$301,MATCH(LARGE(Candidates!$BK$2:$BK$301,$A99),Candidates!$BK$2:$BK$301,0))&amp;"")</f>
        <v/>
      </c>
      <c r="G99" s="34">
        <f>IF($A99="","",INDEX(Candidates!$AV$2:$AV$301,MATCH(LARGE(Candidates!$BK$2:$BK$301,$A99),Candidates!$BK$2:$BK$301,0))&amp;"")</f>
        <v/>
      </c>
      <c r="H99" s="34">
        <f>IF($A99="","",INDEX(Candidates!$AW$2:$AW$301,MATCH(LARGE(Candidates!$BK$2:$BK$301,$A99),Candidates!$BK$2:$BK$301,0))&amp;"")</f>
        <v/>
      </c>
    </row>
    <row r="100">
      <c r="A100" s="32">
        <f>IF(ISNUMBER(LARGE(Candidates!$BK$2:$BK$301,96)),96,"")</f>
        <v/>
      </c>
      <c r="B100" s="33">
        <f>IF($A100="","",INDEX(Candidates!$AR$2:$AR$301,MATCH(LARGE(Candidates!$BK$2:$BK$301,$A100),Candidates!$BK$2:$BK$301,0))&amp;"")</f>
        <v/>
      </c>
      <c r="C100" s="34">
        <f>IF($A100="","",INDEX(Candidates!$AS$2:$AS$301,MATCH(LARGE(Candidates!$BK$2:$BK$301,$A100),Candidates!$BK$2:$BK$301,0))&amp;"")</f>
        <v/>
      </c>
      <c r="D100" s="34">
        <f>IF($A100="","",INDEX(Candidates!$AD$2:$AD$301,MATCH(LARGE(Candidates!$BK$2:$BK$301,$A100),Candidates!$BK$2:$BK$301,0))&amp;"")</f>
        <v/>
      </c>
      <c r="E100" s="32">
        <f>IF($A100="","",INDEX(Candidates!$BJ$2:$BJ$301,MATCH(LARGE(Candidates!$BK$2:$BK$301,$A100),Candidates!$BK$2:$BK$301,0)))</f>
        <v/>
      </c>
      <c r="F100" s="34">
        <f>IF($A100="","",INDEX(Candidates!$BL$2:$BL$301,MATCH(LARGE(Candidates!$BK$2:$BK$301,$A100),Candidates!$BK$2:$BK$301,0))&amp;"")</f>
        <v/>
      </c>
      <c r="G100" s="34">
        <f>IF($A100="","",INDEX(Candidates!$AV$2:$AV$301,MATCH(LARGE(Candidates!$BK$2:$BK$301,$A100),Candidates!$BK$2:$BK$301,0))&amp;"")</f>
        <v/>
      </c>
      <c r="H100" s="34">
        <f>IF($A100="","",INDEX(Candidates!$AW$2:$AW$301,MATCH(LARGE(Candidates!$BK$2:$BK$301,$A100),Candidates!$BK$2:$BK$301,0))&amp;"")</f>
        <v/>
      </c>
    </row>
    <row r="101">
      <c r="A101" s="32">
        <f>IF(ISNUMBER(LARGE(Candidates!$BK$2:$BK$301,97)),97,"")</f>
        <v/>
      </c>
      <c r="B101" s="33">
        <f>IF($A101="","",INDEX(Candidates!$AR$2:$AR$301,MATCH(LARGE(Candidates!$BK$2:$BK$301,$A101),Candidates!$BK$2:$BK$301,0))&amp;"")</f>
        <v/>
      </c>
      <c r="C101" s="34">
        <f>IF($A101="","",INDEX(Candidates!$AS$2:$AS$301,MATCH(LARGE(Candidates!$BK$2:$BK$301,$A101),Candidates!$BK$2:$BK$301,0))&amp;"")</f>
        <v/>
      </c>
      <c r="D101" s="34">
        <f>IF($A101="","",INDEX(Candidates!$AD$2:$AD$301,MATCH(LARGE(Candidates!$BK$2:$BK$301,$A101),Candidates!$BK$2:$BK$301,0))&amp;"")</f>
        <v/>
      </c>
      <c r="E101" s="32">
        <f>IF($A101="","",INDEX(Candidates!$BJ$2:$BJ$301,MATCH(LARGE(Candidates!$BK$2:$BK$301,$A101),Candidates!$BK$2:$BK$301,0)))</f>
        <v/>
      </c>
      <c r="F101" s="34">
        <f>IF($A101="","",INDEX(Candidates!$BL$2:$BL$301,MATCH(LARGE(Candidates!$BK$2:$BK$301,$A101),Candidates!$BK$2:$BK$301,0))&amp;"")</f>
        <v/>
      </c>
      <c r="G101" s="34">
        <f>IF($A101="","",INDEX(Candidates!$AV$2:$AV$301,MATCH(LARGE(Candidates!$BK$2:$BK$301,$A101),Candidates!$BK$2:$BK$301,0))&amp;"")</f>
        <v/>
      </c>
      <c r="H101" s="34">
        <f>IF($A101="","",INDEX(Candidates!$AW$2:$AW$301,MATCH(LARGE(Candidates!$BK$2:$BK$301,$A101),Candidates!$BK$2:$BK$301,0))&amp;"")</f>
        <v/>
      </c>
    </row>
    <row r="102">
      <c r="A102" s="32">
        <f>IF(ISNUMBER(LARGE(Candidates!$BK$2:$BK$301,98)),98,"")</f>
        <v/>
      </c>
      <c r="B102" s="33">
        <f>IF($A102="","",INDEX(Candidates!$AR$2:$AR$301,MATCH(LARGE(Candidates!$BK$2:$BK$301,$A102),Candidates!$BK$2:$BK$301,0))&amp;"")</f>
        <v/>
      </c>
      <c r="C102" s="34">
        <f>IF($A102="","",INDEX(Candidates!$AS$2:$AS$301,MATCH(LARGE(Candidates!$BK$2:$BK$301,$A102),Candidates!$BK$2:$BK$301,0))&amp;"")</f>
        <v/>
      </c>
      <c r="D102" s="34">
        <f>IF($A102="","",INDEX(Candidates!$AD$2:$AD$301,MATCH(LARGE(Candidates!$BK$2:$BK$301,$A102),Candidates!$BK$2:$BK$301,0))&amp;"")</f>
        <v/>
      </c>
      <c r="E102" s="32">
        <f>IF($A102="","",INDEX(Candidates!$BJ$2:$BJ$301,MATCH(LARGE(Candidates!$BK$2:$BK$301,$A102),Candidates!$BK$2:$BK$301,0)))</f>
        <v/>
      </c>
      <c r="F102" s="34">
        <f>IF($A102="","",INDEX(Candidates!$BL$2:$BL$301,MATCH(LARGE(Candidates!$BK$2:$BK$301,$A102),Candidates!$BK$2:$BK$301,0))&amp;"")</f>
        <v/>
      </c>
      <c r="G102" s="34">
        <f>IF($A102="","",INDEX(Candidates!$AV$2:$AV$301,MATCH(LARGE(Candidates!$BK$2:$BK$301,$A102),Candidates!$BK$2:$BK$301,0))&amp;"")</f>
        <v/>
      </c>
      <c r="H102" s="34">
        <f>IF($A102="","",INDEX(Candidates!$AW$2:$AW$301,MATCH(LARGE(Candidates!$BK$2:$BK$301,$A102),Candidates!$BK$2:$BK$301,0))&amp;"")</f>
        <v/>
      </c>
    </row>
    <row r="103">
      <c r="A103" s="32">
        <f>IF(ISNUMBER(LARGE(Candidates!$BK$2:$BK$301,99)),99,"")</f>
        <v/>
      </c>
      <c r="B103" s="33">
        <f>IF($A103="","",INDEX(Candidates!$AR$2:$AR$301,MATCH(LARGE(Candidates!$BK$2:$BK$301,$A103),Candidates!$BK$2:$BK$301,0))&amp;"")</f>
        <v/>
      </c>
      <c r="C103" s="34">
        <f>IF($A103="","",INDEX(Candidates!$AS$2:$AS$301,MATCH(LARGE(Candidates!$BK$2:$BK$301,$A103),Candidates!$BK$2:$BK$301,0))&amp;"")</f>
        <v/>
      </c>
      <c r="D103" s="34">
        <f>IF($A103="","",INDEX(Candidates!$AD$2:$AD$301,MATCH(LARGE(Candidates!$BK$2:$BK$301,$A103),Candidates!$BK$2:$BK$301,0))&amp;"")</f>
        <v/>
      </c>
      <c r="E103" s="32">
        <f>IF($A103="","",INDEX(Candidates!$BJ$2:$BJ$301,MATCH(LARGE(Candidates!$BK$2:$BK$301,$A103),Candidates!$BK$2:$BK$301,0)))</f>
        <v/>
      </c>
      <c r="F103" s="34">
        <f>IF($A103="","",INDEX(Candidates!$BL$2:$BL$301,MATCH(LARGE(Candidates!$BK$2:$BK$301,$A103),Candidates!$BK$2:$BK$301,0))&amp;"")</f>
        <v/>
      </c>
      <c r="G103" s="34">
        <f>IF($A103="","",INDEX(Candidates!$AV$2:$AV$301,MATCH(LARGE(Candidates!$BK$2:$BK$301,$A103),Candidates!$BK$2:$BK$301,0))&amp;"")</f>
        <v/>
      </c>
      <c r="H103" s="34">
        <f>IF($A103="","",INDEX(Candidates!$AW$2:$AW$301,MATCH(LARGE(Candidates!$BK$2:$BK$301,$A103),Candidates!$BK$2:$BK$301,0))&amp;"")</f>
        <v/>
      </c>
    </row>
    <row r="104">
      <c r="A104" s="32">
        <f>IF(ISNUMBER(LARGE(Candidates!$BK$2:$BK$301,100)),100,"")</f>
        <v/>
      </c>
      <c r="B104" s="33">
        <f>IF($A104="","",INDEX(Candidates!$AR$2:$AR$301,MATCH(LARGE(Candidates!$BK$2:$BK$301,$A104),Candidates!$BK$2:$BK$301,0))&amp;"")</f>
        <v/>
      </c>
      <c r="C104" s="34">
        <f>IF($A104="","",INDEX(Candidates!$AS$2:$AS$301,MATCH(LARGE(Candidates!$BK$2:$BK$301,$A104),Candidates!$BK$2:$BK$301,0))&amp;"")</f>
        <v/>
      </c>
      <c r="D104" s="34">
        <f>IF($A104="","",INDEX(Candidates!$AD$2:$AD$301,MATCH(LARGE(Candidates!$BK$2:$BK$301,$A104),Candidates!$BK$2:$BK$301,0))&amp;"")</f>
        <v/>
      </c>
      <c r="E104" s="32">
        <f>IF($A104="","",INDEX(Candidates!$BJ$2:$BJ$301,MATCH(LARGE(Candidates!$BK$2:$BK$301,$A104),Candidates!$BK$2:$BK$301,0)))</f>
        <v/>
      </c>
      <c r="F104" s="34">
        <f>IF($A104="","",INDEX(Candidates!$BL$2:$BL$301,MATCH(LARGE(Candidates!$BK$2:$BK$301,$A104),Candidates!$BK$2:$BK$301,0))&amp;"")</f>
        <v/>
      </c>
      <c r="G104" s="34">
        <f>IF($A104="","",INDEX(Candidates!$AV$2:$AV$301,MATCH(LARGE(Candidates!$BK$2:$BK$301,$A104),Candidates!$BK$2:$BK$301,0))&amp;"")</f>
        <v/>
      </c>
      <c r="H104" s="34">
        <f>IF($A104="","",INDEX(Candidates!$AW$2:$AW$301,MATCH(LARGE(Candidates!$BK$2:$BK$301,$A104),Candidates!$BK$2:$BK$301,0))&amp;"")</f>
        <v/>
      </c>
    </row>
    <row r="105">
      <c r="A105" s="32">
        <f>IF(ISNUMBER(LARGE(Candidates!$BK$2:$BK$301,101)),101,"")</f>
        <v/>
      </c>
      <c r="B105" s="33">
        <f>IF($A105="","",INDEX(Candidates!$AR$2:$AR$301,MATCH(LARGE(Candidates!$BK$2:$BK$301,$A105),Candidates!$BK$2:$BK$301,0))&amp;"")</f>
        <v/>
      </c>
      <c r="C105" s="34">
        <f>IF($A105="","",INDEX(Candidates!$AS$2:$AS$301,MATCH(LARGE(Candidates!$BK$2:$BK$301,$A105),Candidates!$BK$2:$BK$301,0))&amp;"")</f>
        <v/>
      </c>
      <c r="D105" s="34">
        <f>IF($A105="","",INDEX(Candidates!$AD$2:$AD$301,MATCH(LARGE(Candidates!$BK$2:$BK$301,$A105),Candidates!$BK$2:$BK$301,0))&amp;"")</f>
        <v/>
      </c>
      <c r="E105" s="32">
        <f>IF($A105="","",INDEX(Candidates!$BJ$2:$BJ$301,MATCH(LARGE(Candidates!$BK$2:$BK$301,$A105),Candidates!$BK$2:$BK$301,0)))</f>
        <v/>
      </c>
      <c r="F105" s="34">
        <f>IF($A105="","",INDEX(Candidates!$BL$2:$BL$301,MATCH(LARGE(Candidates!$BK$2:$BK$301,$A105),Candidates!$BK$2:$BK$301,0))&amp;"")</f>
        <v/>
      </c>
      <c r="G105" s="34">
        <f>IF($A105="","",INDEX(Candidates!$AV$2:$AV$301,MATCH(LARGE(Candidates!$BK$2:$BK$301,$A105),Candidates!$BK$2:$BK$301,0))&amp;"")</f>
        <v/>
      </c>
      <c r="H105" s="34">
        <f>IF($A105="","",INDEX(Candidates!$AW$2:$AW$301,MATCH(LARGE(Candidates!$BK$2:$BK$301,$A105),Candidates!$BK$2:$BK$301,0))&amp;"")</f>
        <v/>
      </c>
    </row>
    <row r="106">
      <c r="A106" s="32">
        <f>IF(ISNUMBER(LARGE(Candidates!$BK$2:$BK$301,102)),102,"")</f>
        <v/>
      </c>
      <c r="B106" s="33">
        <f>IF($A106="","",INDEX(Candidates!$AR$2:$AR$301,MATCH(LARGE(Candidates!$BK$2:$BK$301,$A106),Candidates!$BK$2:$BK$301,0))&amp;"")</f>
        <v/>
      </c>
      <c r="C106" s="34">
        <f>IF($A106="","",INDEX(Candidates!$AS$2:$AS$301,MATCH(LARGE(Candidates!$BK$2:$BK$301,$A106),Candidates!$BK$2:$BK$301,0))&amp;"")</f>
        <v/>
      </c>
      <c r="D106" s="34">
        <f>IF($A106="","",INDEX(Candidates!$AD$2:$AD$301,MATCH(LARGE(Candidates!$BK$2:$BK$301,$A106),Candidates!$BK$2:$BK$301,0))&amp;"")</f>
        <v/>
      </c>
      <c r="E106" s="32">
        <f>IF($A106="","",INDEX(Candidates!$BJ$2:$BJ$301,MATCH(LARGE(Candidates!$BK$2:$BK$301,$A106),Candidates!$BK$2:$BK$301,0)))</f>
        <v/>
      </c>
      <c r="F106" s="34">
        <f>IF($A106="","",INDEX(Candidates!$BL$2:$BL$301,MATCH(LARGE(Candidates!$BK$2:$BK$301,$A106),Candidates!$BK$2:$BK$301,0))&amp;"")</f>
        <v/>
      </c>
      <c r="G106" s="34">
        <f>IF($A106="","",INDEX(Candidates!$AV$2:$AV$301,MATCH(LARGE(Candidates!$BK$2:$BK$301,$A106),Candidates!$BK$2:$BK$301,0))&amp;"")</f>
        <v/>
      </c>
      <c r="H106" s="34">
        <f>IF($A106="","",INDEX(Candidates!$AW$2:$AW$301,MATCH(LARGE(Candidates!$BK$2:$BK$301,$A106),Candidates!$BK$2:$BK$301,0))&amp;"")</f>
        <v/>
      </c>
    </row>
    <row r="107">
      <c r="A107" s="32">
        <f>IF(ISNUMBER(LARGE(Candidates!$BK$2:$BK$301,103)),103,"")</f>
        <v/>
      </c>
      <c r="B107" s="33">
        <f>IF($A107="","",INDEX(Candidates!$AR$2:$AR$301,MATCH(LARGE(Candidates!$BK$2:$BK$301,$A107),Candidates!$BK$2:$BK$301,0))&amp;"")</f>
        <v/>
      </c>
      <c r="C107" s="34">
        <f>IF($A107="","",INDEX(Candidates!$AS$2:$AS$301,MATCH(LARGE(Candidates!$BK$2:$BK$301,$A107),Candidates!$BK$2:$BK$301,0))&amp;"")</f>
        <v/>
      </c>
      <c r="D107" s="34">
        <f>IF($A107="","",INDEX(Candidates!$AD$2:$AD$301,MATCH(LARGE(Candidates!$BK$2:$BK$301,$A107),Candidates!$BK$2:$BK$301,0))&amp;"")</f>
        <v/>
      </c>
      <c r="E107" s="32">
        <f>IF($A107="","",INDEX(Candidates!$BJ$2:$BJ$301,MATCH(LARGE(Candidates!$BK$2:$BK$301,$A107),Candidates!$BK$2:$BK$301,0)))</f>
        <v/>
      </c>
      <c r="F107" s="34">
        <f>IF($A107="","",INDEX(Candidates!$BL$2:$BL$301,MATCH(LARGE(Candidates!$BK$2:$BK$301,$A107),Candidates!$BK$2:$BK$301,0))&amp;"")</f>
        <v/>
      </c>
      <c r="G107" s="34">
        <f>IF($A107="","",INDEX(Candidates!$AV$2:$AV$301,MATCH(LARGE(Candidates!$BK$2:$BK$301,$A107),Candidates!$BK$2:$BK$301,0))&amp;"")</f>
        <v/>
      </c>
      <c r="H107" s="34">
        <f>IF($A107="","",INDEX(Candidates!$AW$2:$AW$301,MATCH(LARGE(Candidates!$BK$2:$BK$301,$A107),Candidates!$BK$2:$BK$301,0))&amp;"")</f>
        <v/>
      </c>
    </row>
    <row r="108">
      <c r="A108" s="32">
        <f>IF(ISNUMBER(LARGE(Candidates!$BK$2:$BK$301,104)),104,"")</f>
        <v/>
      </c>
      <c r="B108" s="33">
        <f>IF($A108="","",INDEX(Candidates!$AR$2:$AR$301,MATCH(LARGE(Candidates!$BK$2:$BK$301,$A108),Candidates!$BK$2:$BK$301,0))&amp;"")</f>
        <v/>
      </c>
      <c r="C108" s="34">
        <f>IF($A108="","",INDEX(Candidates!$AS$2:$AS$301,MATCH(LARGE(Candidates!$BK$2:$BK$301,$A108),Candidates!$BK$2:$BK$301,0))&amp;"")</f>
        <v/>
      </c>
      <c r="D108" s="34">
        <f>IF($A108="","",INDEX(Candidates!$AD$2:$AD$301,MATCH(LARGE(Candidates!$BK$2:$BK$301,$A108),Candidates!$BK$2:$BK$301,0))&amp;"")</f>
        <v/>
      </c>
      <c r="E108" s="32">
        <f>IF($A108="","",INDEX(Candidates!$BJ$2:$BJ$301,MATCH(LARGE(Candidates!$BK$2:$BK$301,$A108),Candidates!$BK$2:$BK$301,0)))</f>
        <v/>
      </c>
      <c r="F108" s="34">
        <f>IF($A108="","",INDEX(Candidates!$BL$2:$BL$301,MATCH(LARGE(Candidates!$BK$2:$BK$301,$A108),Candidates!$BK$2:$BK$301,0))&amp;"")</f>
        <v/>
      </c>
      <c r="G108" s="34">
        <f>IF($A108="","",INDEX(Candidates!$AV$2:$AV$301,MATCH(LARGE(Candidates!$BK$2:$BK$301,$A108),Candidates!$BK$2:$BK$301,0))&amp;"")</f>
        <v/>
      </c>
      <c r="H108" s="34">
        <f>IF($A108="","",INDEX(Candidates!$AW$2:$AW$301,MATCH(LARGE(Candidates!$BK$2:$BK$301,$A108),Candidates!$BK$2:$BK$301,0))&amp;"")</f>
        <v/>
      </c>
    </row>
    <row r="109">
      <c r="A109" s="32">
        <f>IF(ISNUMBER(LARGE(Candidates!$BK$2:$BK$301,105)),105,"")</f>
        <v/>
      </c>
      <c r="B109" s="33">
        <f>IF($A109="","",INDEX(Candidates!$AR$2:$AR$301,MATCH(LARGE(Candidates!$BK$2:$BK$301,$A109),Candidates!$BK$2:$BK$301,0))&amp;"")</f>
        <v/>
      </c>
      <c r="C109" s="34">
        <f>IF($A109="","",INDEX(Candidates!$AS$2:$AS$301,MATCH(LARGE(Candidates!$BK$2:$BK$301,$A109),Candidates!$BK$2:$BK$301,0))&amp;"")</f>
        <v/>
      </c>
      <c r="D109" s="34">
        <f>IF($A109="","",INDEX(Candidates!$AD$2:$AD$301,MATCH(LARGE(Candidates!$BK$2:$BK$301,$A109),Candidates!$BK$2:$BK$301,0))&amp;"")</f>
        <v/>
      </c>
      <c r="E109" s="32">
        <f>IF($A109="","",INDEX(Candidates!$BJ$2:$BJ$301,MATCH(LARGE(Candidates!$BK$2:$BK$301,$A109),Candidates!$BK$2:$BK$301,0)))</f>
        <v/>
      </c>
      <c r="F109" s="34">
        <f>IF($A109="","",INDEX(Candidates!$BL$2:$BL$301,MATCH(LARGE(Candidates!$BK$2:$BK$301,$A109),Candidates!$BK$2:$BK$301,0))&amp;"")</f>
        <v/>
      </c>
      <c r="G109" s="34">
        <f>IF($A109="","",INDEX(Candidates!$AV$2:$AV$301,MATCH(LARGE(Candidates!$BK$2:$BK$301,$A109),Candidates!$BK$2:$BK$301,0))&amp;"")</f>
        <v/>
      </c>
      <c r="H109" s="34">
        <f>IF($A109="","",INDEX(Candidates!$AW$2:$AW$301,MATCH(LARGE(Candidates!$BK$2:$BK$301,$A109),Candidates!$BK$2:$BK$301,0))&amp;"")</f>
        <v/>
      </c>
    </row>
    <row r="110">
      <c r="A110" s="32">
        <f>IF(ISNUMBER(LARGE(Candidates!$BK$2:$BK$301,106)),106,"")</f>
        <v/>
      </c>
      <c r="B110" s="33">
        <f>IF($A110="","",INDEX(Candidates!$AR$2:$AR$301,MATCH(LARGE(Candidates!$BK$2:$BK$301,$A110),Candidates!$BK$2:$BK$301,0))&amp;"")</f>
        <v/>
      </c>
      <c r="C110" s="34">
        <f>IF($A110="","",INDEX(Candidates!$AS$2:$AS$301,MATCH(LARGE(Candidates!$BK$2:$BK$301,$A110),Candidates!$BK$2:$BK$301,0))&amp;"")</f>
        <v/>
      </c>
      <c r="D110" s="34">
        <f>IF($A110="","",INDEX(Candidates!$AD$2:$AD$301,MATCH(LARGE(Candidates!$BK$2:$BK$301,$A110),Candidates!$BK$2:$BK$301,0))&amp;"")</f>
        <v/>
      </c>
      <c r="E110" s="32">
        <f>IF($A110="","",INDEX(Candidates!$BJ$2:$BJ$301,MATCH(LARGE(Candidates!$BK$2:$BK$301,$A110),Candidates!$BK$2:$BK$301,0)))</f>
        <v/>
      </c>
      <c r="F110" s="34">
        <f>IF($A110="","",INDEX(Candidates!$BL$2:$BL$301,MATCH(LARGE(Candidates!$BK$2:$BK$301,$A110),Candidates!$BK$2:$BK$301,0))&amp;"")</f>
        <v/>
      </c>
      <c r="G110" s="34">
        <f>IF($A110="","",INDEX(Candidates!$AV$2:$AV$301,MATCH(LARGE(Candidates!$BK$2:$BK$301,$A110),Candidates!$BK$2:$BK$301,0))&amp;"")</f>
        <v/>
      </c>
      <c r="H110" s="34">
        <f>IF($A110="","",INDEX(Candidates!$AW$2:$AW$301,MATCH(LARGE(Candidates!$BK$2:$BK$301,$A110),Candidates!$BK$2:$BK$301,0))&amp;"")</f>
        <v/>
      </c>
    </row>
    <row r="111">
      <c r="A111" s="32">
        <f>IF(ISNUMBER(LARGE(Candidates!$BK$2:$BK$301,107)),107,"")</f>
        <v/>
      </c>
      <c r="B111" s="33">
        <f>IF($A111="","",INDEX(Candidates!$AR$2:$AR$301,MATCH(LARGE(Candidates!$BK$2:$BK$301,$A111),Candidates!$BK$2:$BK$301,0))&amp;"")</f>
        <v/>
      </c>
      <c r="C111" s="34">
        <f>IF($A111="","",INDEX(Candidates!$AS$2:$AS$301,MATCH(LARGE(Candidates!$BK$2:$BK$301,$A111),Candidates!$BK$2:$BK$301,0))&amp;"")</f>
        <v/>
      </c>
      <c r="D111" s="34">
        <f>IF($A111="","",INDEX(Candidates!$AD$2:$AD$301,MATCH(LARGE(Candidates!$BK$2:$BK$301,$A111),Candidates!$BK$2:$BK$301,0))&amp;"")</f>
        <v/>
      </c>
      <c r="E111" s="32">
        <f>IF($A111="","",INDEX(Candidates!$BJ$2:$BJ$301,MATCH(LARGE(Candidates!$BK$2:$BK$301,$A111),Candidates!$BK$2:$BK$301,0)))</f>
        <v/>
      </c>
      <c r="F111" s="34">
        <f>IF($A111="","",INDEX(Candidates!$BL$2:$BL$301,MATCH(LARGE(Candidates!$BK$2:$BK$301,$A111),Candidates!$BK$2:$BK$301,0))&amp;"")</f>
        <v/>
      </c>
      <c r="G111" s="34">
        <f>IF($A111="","",INDEX(Candidates!$AV$2:$AV$301,MATCH(LARGE(Candidates!$BK$2:$BK$301,$A111),Candidates!$BK$2:$BK$301,0))&amp;"")</f>
        <v/>
      </c>
      <c r="H111" s="34">
        <f>IF($A111="","",INDEX(Candidates!$AW$2:$AW$301,MATCH(LARGE(Candidates!$BK$2:$BK$301,$A111),Candidates!$BK$2:$BK$301,0))&amp;"")</f>
        <v/>
      </c>
    </row>
    <row r="112">
      <c r="A112" s="32">
        <f>IF(ISNUMBER(LARGE(Candidates!$BK$2:$BK$301,108)),108,"")</f>
        <v/>
      </c>
      <c r="B112" s="33">
        <f>IF($A112="","",INDEX(Candidates!$AR$2:$AR$301,MATCH(LARGE(Candidates!$BK$2:$BK$301,$A112),Candidates!$BK$2:$BK$301,0))&amp;"")</f>
        <v/>
      </c>
      <c r="C112" s="34">
        <f>IF($A112="","",INDEX(Candidates!$AS$2:$AS$301,MATCH(LARGE(Candidates!$BK$2:$BK$301,$A112),Candidates!$BK$2:$BK$301,0))&amp;"")</f>
        <v/>
      </c>
      <c r="D112" s="34">
        <f>IF($A112="","",INDEX(Candidates!$AD$2:$AD$301,MATCH(LARGE(Candidates!$BK$2:$BK$301,$A112),Candidates!$BK$2:$BK$301,0))&amp;"")</f>
        <v/>
      </c>
      <c r="E112" s="32">
        <f>IF($A112="","",INDEX(Candidates!$BJ$2:$BJ$301,MATCH(LARGE(Candidates!$BK$2:$BK$301,$A112),Candidates!$BK$2:$BK$301,0)))</f>
        <v/>
      </c>
      <c r="F112" s="34">
        <f>IF($A112="","",INDEX(Candidates!$BL$2:$BL$301,MATCH(LARGE(Candidates!$BK$2:$BK$301,$A112),Candidates!$BK$2:$BK$301,0))&amp;"")</f>
        <v/>
      </c>
      <c r="G112" s="34">
        <f>IF($A112="","",INDEX(Candidates!$AV$2:$AV$301,MATCH(LARGE(Candidates!$BK$2:$BK$301,$A112),Candidates!$BK$2:$BK$301,0))&amp;"")</f>
        <v/>
      </c>
      <c r="H112" s="34">
        <f>IF($A112="","",INDEX(Candidates!$AW$2:$AW$301,MATCH(LARGE(Candidates!$BK$2:$BK$301,$A112),Candidates!$BK$2:$BK$301,0))&amp;"")</f>
        <v/>
      </c>
    </row>
    <row r="113">
      <c r="A113" s="32">
        <f>IF(ISNUMBER(LARGE(Candidates!$BK$2:$BK$301,109)),109,"")</f>
        <v/>
      </c>
      <c r="B113" s="33">
        <f>IF($A113="","",INDEX(Candidates!$AR$2:$AR$301,MATCH(LARGE(Candidates!$BK$2:$BK$301,$A113),Candidates!$BK$2:$BK$301,0))&amp;"")</f>
        <v/>
      </c>
      <c r="C113" s="34">
        <f>IF($A113="","",INDEX(Candidates!$AS$2:$AS$301,MATCH(LARGE(Candidates!$BK$2:$BK$301,$A113),Candidates!$BK$2:$BK$301,0))&amp;"")</f>
        <v/>
      </c>
      <c r="D113" s="34">
        <f>IF($A113="","",INDEX(Candidates!$AD$2:$AD$301,MATCH(LARGE(Candidates!$BK$2:$BK$301,$A113),Candidates!$BK$2:$BK$301,0))&amp;"")</f>
        <v/>
      </c>
      <c r="E113" s="32">
        <f>IF($A113="","",INDEX(Candidates!$BJ$2:$BJ$301,MATCH(LARGE(Candidates!$BK$2:$BK$301,$A113),Candidates!$BK$2:$BK$301,0)))</f>
        <v/>
      </c>
      <c r="F113" s="34">
        <f>IF($A113="","",INDEX(Candidates!$BL$2:$BL$301,MATCH(LARGE(Candidates!$BK$2:$BK$301,$A113),Candidates!$BK$2:$BK$301,0))&amp;"")</f>
        <v/>
      </c>
      <c r="G113" s="34">
        <f>IF($A113="","",INDEX(Candidates!$AV$2:$AV$301,MATCH(LARGE(Candidates!$BK$2:$BK$301,$A113),Candidates!$BK$2:$BK$301,0))&amp;"")</f>
        <v/>
      </c>
      <c r="H113" s="34">
        <f>IF($A113="","",INDEX(Candidates!$AW$2:$AW$301,MATCH(LARGE(Candidates!$BK$2:$BK$301,$A113),Candidates!$BK$2:$BK$301,0))&amp;"")</f>
        <v/>
      </c>
    </row>
    <row r="114">
      <c r="A114" s="32">
        <f>IF(ISNUMBER(LARGE(Candidates!$BK$2:$BK$301,110)),110,"")</f>
        <v/>
      </c>
      <c r="B114" s="33">
        <f>IF($A114="","",INDEX(Candidates!$AR$2:$AR$301,MATCH(LARGE(Candidates!$BK$2:$BK$301,$A114),Candidates!$BK$2:$BK$301,0))&amp;"")</f>
        <v/>
      </c>
      <c r="C114" s="34">
        <f>IF($A114="","",INDEX(Candidates!$AS$2:$AS$301,MATCH(LARGE(Candidates!$BK$2:$BK$301,$A114),Candidates!$BK$2:$BK$301,0))&amp;"")</f>
        <v/>
      </c>
      <c r="D114" s="34">
        <f>IF($A114="","",INDEX(Candidates!$AD$2:$AD$301,MATCH(LARGE(Candidates!$BK$2:$BK$301,$A114),Candidates!$BK$2:$BK$301,0))&amp;"")</f>
        <v/>
      </c>
      <c r="E114" s="32">
        <f>IF($A114="","",INDEX(Candidates!$BJ$2:$BJ$301,MATCH(LARGE(Candidates!$BK$2:$BK$301,$A114),Candidates!$BK$2:$BK$301,0)))</f>
        <v/>
      </c>
      <c r="F114" s="34">
        <f>IF($A114="","",INDEX(Candidates!$BL$2:$BL$301,MATCH(LARGE(Candidates!$BK$2:$BK$301,$A114),Candidates!$BK$2:$BK$301,0))&amp;"")</f>
        <v/>
      </c>
      <c r="G114" s="34">
        <f>IF($A114="","",INDEX(Candidates!$AV$2:$AV$301,MATCH(LARGE(Candidates!$BK$2:$BK$301,$A114),Candidates!$BK$2:$BK$301,0))&amp;"")</f>
        <v/>
      </c>
      <c r="H114" s="34">
        <f>IF($A114="","",INDEX(Candidates!$AW$2:$AW$301,MATCH(LARGE(Candidates!$BK$2:$BK$301,$A114),Candidates!$BK$2:$BK$301,0))&amp;"")</f>
        <v/>
      </c>
    </row>
    <row r="115">
      <c r="A115" s="32">
        <f>IF(ISNUMBER(LARGE(Candidates!$BK$2:$BK$301,111)),111,"")</f>
        <v/>
      </c>
      <c r="B115" s="33">
        <f>IF($A115="","",INDEX(Candidates!$AR$2:$AR$301,MATCH(LARGE(Candidates!$BK$2:$BK$301,$A115),Candidates!$BK$2:$BK$301,0))&amp;"")</f>
        <v/>
      </c>
      <c r="C115" s="34">
        <f>IF($A115="","",INDEX(Candidates!$AS$2:$AS$301,MATCH(LARGE(Candidates!$BK$2:$BK$301,$A115),Candidates!$BK$2:$BK$301,0))&amp;"")</f>
        <v/>
      </c>
      <c r="D115" s="34">
        <f>IF($A115="","",INDEX(Candidates!$AD$2:$AD$301,MATCH(LARGE(Candidates!$BK$2:$BK$301,$A115),Candidates!$BK$2:$BK$301,0))&amp;"")</f>
        <v/>
      </c>
      <c r="E115" s="32">
        <f>IF($A115="","",INDEX(Candidates!$BJ$2:$BJ$301,MATCH(LARGE(Candidates!$BK$2:$BK$301,$A115),Candidates!$BK$2:$BK$301,0)))</f>
        <v/>
      </c>
      <c r="F115" s="34">
        <f>IF($A115="","",INDEX(Candidates!$BL$2:$BL$301,MATCH(LARGE(Candidates!$BK$2:$BK$301,$A115),Candidates!$BK$2:$BK$301,0))&amp;"")</f>
        <v/>
      </c>
      <c r="G115" s="34">
        <f>IF($A115="","",INDEX(Candidates!$AV$2:$AV$301,MATCH(LARGE(Candidates!$BK$2:$BK$301,$A115),Candidates!$BK$2:$BK$301,0))&amp;"")</f>
        <v/>
      </c>
      <c r="H115" s="34">
        <f>IF($A115="","",INDEX(Candidates!$AW$2:$AW$301,MATCH(LARGE(Candidates!$BK$2:$BK$301,$A115),Candidates!$BK$2:$BK$301,0))&amp;"")</f>
        <v/>
      </c>
    </row>
    <row r="116">
      <c r="A116" s="32">
        <f>IF(ISNUMBER(LARGE(Candidates!$BK$2:$BK$301,112)),112,"")</f>
        <v/>
      </c>
      <c r="B116" s="33">
        <f>IF($A116="","",INDEX(Candidates!$AR$2:$AR$301,MATCH(LARGE(Candidates!$BK$2:$BK$301,$A116),Candidates!$BK$2:$BK$301,0))&amp;"")</f>
        <v/>
      </c>
      <c r="C116" s="34">
        <f>IF($A116="","",INDEX(Candidates!$AS$2:$AS$301,MATCH(LARGE(Candidates!$BK$2:$BK$301,$A116),Candidates!$BK$2:$BK$301,0))&amp;"")</f>
        <v/>
      </c>
      <c r="D116" s="34">
        <f>IF($A116="","",INDEX(Candidates!$AD$2:$AD$301,MATCH(LARGE(Candidates!$BK$2:$BK$301,$A116),Candidates!$BK$2:$BK$301,0))&amp;"")</f>
        <v/>
      </c>
      <c r="E116" s="32">
        <f>IF($A116="","",INDEX(Candidates!$BJ$2:$BJ$301,MATCH(LARGE(Candidates!$BK$2:$BK$301,$A116),Candidates!$BK$2:$BK$301,0)))</f>
        <v/>
      </c>
      <c r="F116" s="34">
        <f>IF($A116="","",INDEX(Candidates!$BL$2:$BL$301,MATCH(LARGE(Candidates!$BK$2:$BK$301,$A116),Candidates!$BK$2:$BK$301,0))&amp;"")</f>
        <v/>
      </c>
      <c r="G116" s="34">
        <f>IF($A116="","",INDEX(Candidates!$AV$2:$AV$301,MATCH(LARGE(Candidates!$BK$2:$BK$301,$A116),Candidates!$BK$2:$BK$301,0))&amp;"")</f>
        <v/>
      </c>
      <c r="H116" s="34">
        <f>IF($A116="","",INDEX(Candidates!$AW$2:$AW$301,MATCH(LARGE(Candidates!$BK$2:$BK$301,$A116),Candidates!$BK$2:$BK$301,0))&amp;"")</f>
        <v/>
      </c>
    </row>
    <row r="117">
      <c r="A117" s="32">
        <f>IF(ISNUMBER(LARGE(Candidates!$BK$2:$BK$301,113)),113,"")</f>
        <v/>
      </c>
      <c r="B117" s="33">
        <f>IF($A117="","",INDEX(Candidates!$AR$2:$AR$301,MATCH(LARGE(Candidates!$BK$2:$BK$301,$A117),Candidates!$BK$2:$BK$301,0))&amp;"")</f>
        <v/>
      </c>
      <c r="C117" s="34">
        <f>IF($A117="","",INDEX(Candidates!$AS$2:$AS$301,MATCH(LARGE(Candidates!$BK$2:$BK$301,$A117),Candidates!$BK$2:$BK$301,0))&amp;"")</f>
        <v/>
      </c>
      <c r="D117" s="34">
        <f>IF($A117="","",INDEX(Candidates!$AD$2:$AD$301,MATCH(LARGE(Candidates!$BK$2:$BK$301,$A117),Candidates!$BK$2:$BK$301,0))&amp;"")</f>
        <v/>
      </c>
      <c r="E117" s="32">
        <f>IF($A117="","",INDEX(Candidates!$BJ$2:$BJ$301,MATCH(LARGE(Candidates!$BK$2:$BK$301,$A117),Candidates!$BK$2:$BK$301,0)))</f>
        <v/>
      </c>
      <c r="F117" s="34">
        <f>IF($A117="","",INDEX(Candidates!$BL$2:$BL$301,MATCH(LARGE(Candidates!$BK$2:$BK$301,$A117),Candidates!$BK$2:$BK$301,0))&amp;"")</f>
        <v/>
      </c>
      <c r="G117" s="34">
        <f>IF($A117="","",INDEX(Candidates!$AV$2:$AV$301,MATCH(LARGE(Candidates!$BK$2:$BK$301,$A117),Candidates!$BK$2:$BK$301,0))&amp;"")</f>
        <v/>
      </c>
      <c r="H117" s="34">
        <f>IF($A117="","",INDEX(Candidates!$AW$2:$AW$301,MATCH(LARGE(Candidates!$BK$2:$BK$301,$A117),Candidates!$BK$2:$BK$301,0))&amp;"")</f>
        <v/>
      </c>
    </row>
    <row r="118">
      <c r="A118" s="32">
        <f>IF(ISNUMBER(LARGE(Candidates!$BK$2:$BK$301,114)),114,"")</f>
        <v/>
      </c>
      <c r="B118" s="33">
        <f>IF($A118="","",INDEX(Candidates!$AR$2:$AR$301,MATCH(LARGE(Candidates!$BK$2:$BK$301,$A118),Candidates!$BK$2:$BK$301,0))&amp;"")</f>
        <v/>
      </c>
      <c r="C118" s="34">
        <f>IF($A118="","",INDEX(Candidates!$AS$2:$AS$301,MATCH(LARGE(Candidates!$BK$2:$BK$301,$A118),Candidates!$BK$2:$BK$301,0))&amp;"")</f>
        <v/>
      </c>
      <c r="D118" s="34">
        <f>IF($A118="","",INDEX(Candidates!$AD$2:$AD$301,MATCH(LARGE(Candidates!$BK$2:$BK$301,$A118),Candidates!$BK$2:$BK$301,0))&amp;"")</f>
        <v/>
      </c>
      <c r="E118" s="32">
        <f>IF($A118="","",INDEX(Candidates!$BJ$2:$BJ$301,MATCH(LARGE(Candidates!$BK$2:$BK$301,$A118),Candidates!$BK$2:$BK$301,0)))</f>
        <v/>
      </c>
      <c r="F118" s="34">
        <f>IF($A118="","",INDEX(Candidates!$BL$2:$BL$301,MATCH(LARGE(Candidates!$BK$2:$BK$301,$A118),Candidates!$BK$2:$BK$301,0))&amp;"")</f>
        <v/>
      </c>
      <c r="G118" s="34">
        <f>IF($A118="","",INDEX(Candidates!$AV$2:$AV$301,MATCH(LARGE(Candidates!$BK$2:$BK$301,$A118),Candidates!$BK$2:$BK$301,0))&amp;"")</f>
        <v/>
      </c>
      <c r="H118" s="34">
        <f>IF($A118="","",INDEX(Candidates!$AW$2:$AW$301,MATCH(LARGE(Candidates!$BK$2:$BK$301,$A118),Candidates!$BK$2:$BK$301,0))&amp;"")</f>
        <v/>
      </c>
    </row>
    <row r="119">
      <c r="A119" s="32">
        <f>IF(ISNUMBER(LARGE(Candidates!$BK$2:$BK$301,115)),115,"")</f>
        <v/>
      </c>
      <c r="B119" s="33">
        <f>IF($A119="","",INDEX(Candidates!$AR$2:$AR$301,MATCH(LARGE(Candidates!$BK$2:$BK$301,$A119),Candidates!$BK$2:$BK$301,0))&amp;"")</f>
        <v/>
      </c>
      <c r="C119" s="34">
        <f>IF($A119="","",INDEX(Candidates!$AS$2:$AS$301,MATCH(LARGE(Candidates!$BK$2:$BK$301,$A119),Candidates!$BK$2:$BK$301,0))&amp;"")</f>
        <v/>
      </c>
      <c r="D119" s="34">
        <f>IF($A119="","",INDEX(Candidates!$AD$2:$AD$301,MATCH(LARGE(Candidates!$BK$2:$BK$301,$A119),Candidates!$BK$2:$BK$301,0))&amp;"")</f>
        <v/>
      </c>
      <c r="E119" s="32">
        <f>IF($A119="","",INDEX(Candidates!$BJ$2:$BJ$301,MATCH(LARGE(Candidates!$BK$2:$BK$301,$A119),Candidates!$BK$2:$BK$301,0)))</f>
        <v/>
      </c>
      <c r="F119" s="34">
        <f>IF($A119="","",INDEX(Candidates!$BL$2:$BL$301,MATCH(LARGE(Candidates!$BK$2:$BK$301,$A119),Candidates!$BK$2:$BK$301,0))&amp;"")</f>
        <v/>
      </c>
      <c r="G119" s="34">
        <f>IF($A119="","",INDEX(Candidates!$AV$2:$AV$301,MATCH(LARGE(Candidates!$BK$2:$BK$301,$A119),Candidates!$BK$2:$BK$301,0))&amp;"")</f>
        <v/>
      </c>
      <c r="H119" s="34">
        <f>IF($A119="","",INDEX(Candidates!$AW$2:$AW$301,MATCH(LARGE(Candidates!$BK$2:$BK$301,$A119),Candidates!$BK$2:$BK$301,0))&amp;"")</f>
        <v/>
      </c>
    </row>
    <row r="120">
      <c r="A120" s="32">
        <f>IF(ISNUMBER(LARGE(Candidates!$BK$2:$BK$301,116)),116,"")</f>
        <v/>
      </c>
      <c r="B120" s="33">
        <f>IF($A120="","",INDEX(Candidates!$AR$2:$AR$301,MATCH(LARGE(Candidates!$BK$2:$BK$301,$A120),Candidates!$BK$2:$BK$301,0))&amp;"")</f>
        <v/>
      </c>
      <c r="C120" s="34">
        <f>IF($A120="","",INDEX(Candidates!$AS$2:$AS$301,MATCH(LARGE(Candidates!$BK$2:$BK$301,$A120),Candidates!$BK$2:$BK$301,0))&amp;"")</f>
        <v/>
      </c>
      <c r="D120" s="34">
        <f>IF($A120="","",INDEX(Candidates!$AD$2:$AD$301,MATCH(LARGE(Candidates!$BK$2:$BK$301,$A120),Candidates!$BK$2:$BK$301,0))&amp;"")</f>
        <v/>
      </c>
      <c r="E120" s="32">
        <f>IF($A120="","",INDEX(Candidates!$BJ$2:$BJ$301,MATCH(LARGE(Candidates!$BK$2:$BK$301,$A120),Candidates!$BK$2:$BK$301,0)))</f>
        <v/>
      </c>
      <c r="F120" s="34">
        <f>IF($A120="","",INDEX(Candidates!$BL$2:$BL$301,MATCH(LARGE(Candidates!$BK$2:$BK$301,$A120),Candidates!$BK$2:$BK$301,0))&amp;"")</f>
        <v/>
      </c>
      <c r="G120" s="34">
        <f>IF($A120="","",INDEX(Candidates!$AV$2:$AV$301,MATCH(LARGE(Candidates!$BK$2:$BK$301,$A120),Candidates!$BK$2:$BK$301,0))&amp;"")</f>
        <v/>
      </c>
      <c r="H120" s="34">
        <f>IF($A120="","",INDEX(Candidates!$AW$2:$AW$301,MATCH(LARGE(Candidates!$BK$2:$BK$301,$A120),Candidates!$BK$2:$BK$301,0))&amp;"")</f>
        <v/>
      </c>
    </row>
    <row r="121">
      <c r="A121" s="32">
        <f>IF(ISNUMBER(LARGE(Candidates!$BK$2:$BK$301,117)),117,"")</f>
        <v/>
      </c>
      <c r="B121" s="33">
        <f>IF($A121="","",INDEX(Candidates!$AR$2:$AR$301,MATCH(LARGE(Candidates!$BK$2:$BK$301,$A121),Candidates!$BK$2:$BK$301,0))&amp;"")</f>
        <v/>
      </c>
      <c r="C121" s="34">
        <f>IF($A121="","",INDEX(Candidates!$AS$2:$AS$301,MATCH(LARGE(Candidates!$BK$2:$BK$301,$A121),Candidates!$BK$2:$BK$301,0))&amp;"")</f>
        <v/>
      </c>
      <c r="D121" s="34">
        <f>IF($A121="","",INDEX(Candidates!$AD$2:$AD$301,MATCH(LARGE(Candidates!$BK$2:$BK$301,$A121),Candidates!$BK$2:$BK$301,0))&amp;"")</f>
        <v/>
      </c>
      <c r="E121" s="32">
        <f>IF($A121="","",INDEX(Candidates!$BJ$2:$BJ$301,MATCH(LARGE(Candidates!$BK$2:$BK$301,$A121),Candidates!$BK$2:$BK$301,0)))</f>
        <v/>
      </c>
      <c r="F121" s="34">
        <f>IF($A121="","",INDEX(Candidates!$BL$2:$BL$301,MATCH(LARGE(Candidates!$BK$2:$BK$301,$A121),Candidates!$BK$2:$BK$301,0))&amp;"")</f>
        <v/>
      </c>
      <c r="G121" s="34">
        <f>IF($A121="","",INDEX(Candidates!$AV$2:$AV$301,MATCH(LARGE(Candidates!$BK$2:$BK$301,$A121),Candidates!$BK$2:$BK$301,0))&amp;"")</f>
        <v/>
      </c>
      <c r="H121" s="34">
        <f>IF($A121="","",INDEX(Candidates!$AW$2:$AW$301,MATCH(LARGE(Candidates!$BK$2:$BK$301,$A121),Candidates!$BK$2:$BK$301,0))&amp;"")</f>
        <v/>
      </c>
    </row>
    <row r="122">
      <c r="A122" s="32">
        <f>IF(ISNUMBER(LARGE(Candidates!$BK$2:$BK$301,118)),118,"")</f>
        <v/>
      </c>
      <c r="B122" s="33">
        <f>IF($A122="","",INDEX(Candidates!$AR$2:$AR$301,MATCH(LARGE(Candidates!$BK$2:$BK$301,$A122),Candidates!$BK$2:$BK$301,0))&amp;"")</f>
        <v/>
      </c>
      <c r="C122" s="34">
        <f>IF($A122="","",INDEX(Candidates!$AS$2:$AS$301,MATCH(LARGE(Candidates!$BK$2:$BK$301,$A122),Candidates!$BK$2:$BK$301,0))&amp;"")</f>
        <v/>
      </c>
      <c r="D122" s="34">
        <f>IF($A122="","",INDEX(Candidates!$AD$2:$AD$301,MATCH(LARGE(Candidates!$BK$2:$BK$301,$A122),Candidates!$BK$2:$BK$301,0))&amp;"")</f>
        <v/>
      </c>
      <c r="E122" s="32">
        <f>IF($A122="","",INDEX(Candidates!$BJ$2:$BJ$301,MATCH(LARGE(Candidates!$BK$2:$BK$301,$A122),Candidates!$BK$2:$BK$301,0)))</f>
        <v/>
      </c>
      <c r="F122" s="34">
        <f>IF($A122="","",INDEX(Candidates!$BL$2:$BL$301,MATCH(LARGE(Candidates!$BK$2:$BK$301,$A122),Candidates!$BK$2:$BK$301,0))&amp;"")</f>
        <v/>
      </c>
      <c r="G122" s="34">
        <f>IF($A122="","",INDEX(Candidates!$AV$2:$AV$301,MATCH(LARGE(Candidates!$BK$2:$BK$301,$A122),Candidates!$BK$2:$BK$301,0))&amp;"")</f>
        <v/>
      </c>
      <c r="H122" s="34">
        <f>IF($A122="","",INDEX(Candidates!$AW$2:$AW$301,MATCH(LARGE(Candidates!$BK$2:$BK$301,$A122),Candidates!$BK$2:$BK$301,0))&amp;"")</f>
        <v/>
      </c>
    </row>
    <row r="123">
      <c r="A123" s="32">
        <f>IF(ISNUMBER(LARGE(Candidates!$BK$2:$BK$301,119)),119,"")</f>
        <v/>
      </c>
      <c r="B123" s="33">
        <f>IF($A123="","",INDEX(Candidates!$AR$2:$AR$301,MATCH(LARGE(Candidates!$BK$2:$BK$301,$A123),Candidates!$BK$2:$BK$301,0))&amp;"")</f>
        <v/>
      </c>
      <c r="C123" s="34">
        <f>IF($A123="","",INDEX(Candidates!$AS$2:$AS$301,MATCH(LARGE(Candidates!$BK$2:$BK$301,$A123),Candidates!$BK$2:$BK$301,0))&amp;"")</f>
        <v/>
      </c>
      <c r="D123" s="34">
        <f>IF($A123="","",INDEX(Candidates!$AD$2:$AD$301,MATCH(LARGE(Candidates!$BK$2:$BK$301,$A123),Candidates!$BK$2:$BK$301,0))&amp;"")</f>
        <v/>
      </c>
      <c r="E123" s="32">
        <f>IF($A123="","",INDEX(Candidates!$BJ$2:$BJ$301,MATCH(LARGE(Candidates!$BK$2:$BK$301,$A123),Candidates!$BK$2:$BK$301,0)))</f>
        <v/>
      </c>
      <c r="F123" s="34">
        <f>IF($A123="","",INDEX(Candidates!$BL$2:$BL$301,MATCH(LARGE(Candidates!$BK$2:$BK$301,$A123),Candidates!$BK$2:$BK$301,0))&amp;"")</f>
        <v/>
      </c>
      <c r="G123" s="34">
        <f>IF($A123="","",INDEX(Candidates!$AV$2:$AV$301,MATCH(LARGE(Candidates!$BK$2:$BK$301,$A123),Candidates!$BK$2:$BK$301,0))&amp;"")</f>
        <v/>
      </c>
      <c r="H123" s="34">
        <f>IF($A123="","",INDEX(Candidates!$AW$2:$AW$301,MATCH(LARGE(Candidates!$BK$2:$BK$301,$A123),Candidates!$BK$2:$BK$301,0))&amp;"")</f>
        <v/>
      </c>
    </row>
    <row r="124">
      <c r="A124" s="32">
        <f>IF(ISNUMBER(LARGE(Candidates!$BK$2:$BK$301,120)),120,"")</f>
        <v/>
      </c>
      <c r="B124" s="33">
        <f>IF($A124="","",INDEX(Candidates!$AR$2:$AR$301,MATCH(LARGE(Candidates!$BK$2:$BK$301,$A124),Candidates!$BK$2:$BK$301,0))&amp;"")</f>
        <v/>
      </c>
      <c r="C124" s="34">
        <f>IF($A124="","",INDEX(Candidates!$AS$2:$AS$301,MATCH(LARGE(Candidates!$BK$2:$BK$301,$A124),Candidates!$BK$2:$BK$301,0))&amp;"")</f>
        <v/>
      </c>
      <c r="D124" s="34">
        <f>IF($A124="","",INDEX(Candidates!$AD$2:$AD$301,MATCH(LARGE(Candidates!$BK$2:$BK$301,$A124),Candidates!$BK$2:$BK$301,0))&amp;"")</f>
        <v/>
      </c>
      <c r="E124" s="32">
        <f>IF($A124="","",INDEX(Candidates!$BJ$2:$BJ$301,MATCH(LARGE(Candidates!$BK$2:$BK$301,$A124),Candidates!$BK$2:$BK$301,0)))</f>
        <v/>
      </c>
      <c r="F124" s="34">
        <f>IF($A124="","",INDEX(Candidates!$BL$2:$BL$301,MATCH(LARGE(Candidates!$BK$2:$BK$301,$A124),Candidates!$BK$2:$BK$301,0))&amp;"")</f>
        <v/>
      </c>
      <c r="G124" s="34">
        <f>IF($A124="","",INDEX(Candidates!$AV$2:$AV$301,MATCH(LARGE(Candidates!$BK$2:$BK$301,$A124),Candidates!$BK$2:$BK$301,0))&amp;"")</f>
        <v/>
      </c>
      <c r="H124" s="34">
        <f>IF($A124="","",INDEX(Candidates!$AW$2:$AW$301,MATCH(LARGE(Candidates!$BK$2:$BK$301,$A124),Candidates!$BK$2:$BK$301,0))&amp;"")</f>
        <v/>
      </c>
    </row>
    <row r="125">
      <c r="A125" s="32">
        <f>IF(ISNUMBER(LARGE(Candidates!$BK$2:$BK$301,121)),121,"")</f>
        <v/>
      </c>
      <c r="B125" s="33">
        <f>IF($A125="","",INDEX(Candidates!$AR$2:$AR$301,MATCH(LARGE(Candidates!$BK$2:$BK$301,$A125),Candidates!$BK$2:$BK$301,0))&amp;"")</f>
        <v/>
      </c>
      <c r="C125" s="34">
        <f>IF($A125="","",INDEX(Candidates!$AS$2:$AS$301,MATCH(LARGE(Candidates!$BK$2:$BK$301,$A125),Candidates!$BK$2:$BK$301,0))&amp;"")</f>
        <v/>
      </c>
      <c r="D125" s="34">
        <f>IF($A125="","",INDEX(Candidates!$AD$2:$AD$301,MATCH(LARGE(Candidates!$BK$2:$BK$301,$A125),Candidates!$BK$2:$BK$301,0))&amp;"")</f>
        <v/>
      </c>
      <c r="E125" s="32">
        <f>IF($A125="","",INDEX(Candidates!$BJ$2:$BJ$301,MATCH(LARGE(Candidates!$BK$2:$BK$301,$A125),Candidates!$BK$2:$BK$301,0)))</f>
        <v/>
      </c>
      <c r="F125" s="34">
        <f>IF($A125="","",INDEX(Candidates!$BL$2:$BL$301,MATCH(LARGE(Candidates!$BK$2:$BK$301,$A125),Candidates!$BK$2:$BK$301,0))&amp;"")</f>
        <v/>
      </c>
      <c r="G125" s="34">
        <f>IF($A125="","",INDEX(Candidates!$AV$2:$AV$301,MATCH(LARGE(Candidates!$BK$2:$BK$301,$A125),Candidates!$BK$2:$BK$301,0))&amp;"")</f>
        <v/>
      </c>
      <c r="H125" s="34">
        <f>IF($A125="","",INDEX(Candidates!$AW$2:$AW$301,MATCH(LARGE(Candidates!$BK$2:$BK$301,$A125),Candidates!$BK$2:$BK$301,0))&amp;"")</f>
        <v/>
      </c>
    </row>
    <row r="126">
      <c r="A126" s="32">
        <f>IF(ISNUMBER(LARGE(Candidates!$BK$2:$BK$301,122)),122,"")</f>
        <v/>
      </c>
      <c r="B126" s="33">
        <f>IF($A126="","",INDEX(Candidates!$AR$2:$AR$301,MATCH(LARGE(Candidates!$BK$2:$BK$301,$A126),Candidates!$BK$2:$BK$301,0))&amp;"")</f>
        <v/>
      </c>
      <c r="C126" s="34">
        <f>IF($A126="","",INDEX(Candidates!$AS$2:$AS$301,MATCH(LARGE(Candidates!$BK$2:$BK$301,$A126),Candidates!$BK$2:$BK$301,0))&amp;"")</f>
        <v/>
      </c>
      <c r="D126" s="34">
        <f>IF($A126="","",INDEX(Candidates!$AD$2:$AD$301,MATCH(LARGE(Candidates!$BK$2:$BK$301,$A126),Candidates!$BK$2:$BK$301,0))&amp;"")</f>
        <v/>
      </c>
      <c r="E126" s="32">
        <f>IF($A126="","",INDEX(Candidates!$BJ$2:$BJ$301,MATCH(LARGE(Candidates!$BK$2:$BK$301,$A126),Candidates!$BK$2:$BK$301,0)))</f>
        <v/>
      </c>
      <c r="F126" s="34">
        <f>IF($A126="","",INDEX(Candidates!$BL$2:$BL$301,MATCH(LARGE(Candidates!$BK$2:$BK$301,$A126),Candidates!$BK$2:$BK$301,0))&amp;"")</f>
        <v/>
      </c>
      <c r="G126" s="34">
        <f>IF($A126="","",INDEX(Candidates!$AV$2:$AV$301,MATCH(LARGE(Candidates!$BK$2:$BK$301,$A126),Candidates!$BK$2:$BK$301,0))&amp;"")</f>
        <v/>
      </c>
      <c r="H126" s="34">
        <f>IF($A126="","",INDEX(Candidates!$AW$2:$AW$301,MATCH(LARGE(Candidates!$BK$2:$BK$301,$A126),Candidates!$BK$2:$BK$301,0))&amp;"")</f>
        <v/>
      </c>
    </row>
    <row r="127">
      <c r="A127" s="32">
        <f>IF(ISNUMBER(LARGE(Candidates!$BK$2:$BK$301,123)),123,"")</f>
        <v/>
      </c>
      <c r="B127" s="33">
        <f>IF($A127="","",INDEX(Candidates!$AR$2:$AR$301,MATCH(LARGE(Candidates!$BK$2:$BK$301,$A127),Candidates!$BK$2:$BK$301,0))&amp;"")</f>
        <v/>
      </c>
      <c r="C127" s="34">
        <f>IF($A127="","",INDEX(Candidates!$AS$2:$AS$301,MATCH(LARGE(Candidates!$BK$2:$BK$301,$A127),Candidates!$BK$2:$BK$301,0))&amp;"")</f>
        <v/>
      </c>
      <c r="D127" s="34">
        <f>IF($A127="","",INDEX(Candidates!$AD$2:$AD$301,MATCH(LARGE(Candidates!$BK$2:$BK$301,$A127),Candidates!$BK$2:$BK$301,0))&amp;"")</f>
        <v/>
      </c>
      <c r="E127" s="32">
        <f>IF($A127="","",INDEX(Candidates!$BJ$2:$BJ$301,MATCH(LARGE(Candidates!$BK$2:$BK$301,$A127),Candidates!$BK$2:$BK$301,0)))</f>
        <v/>
      </c>
      <c r="F127" s="34">
        <f>IF($A127="","",INDEX(Candidates!$BL$2:$BL$301,MATCH(LARGE(Candidates!$BK$2:$BK$301,$A127),Candidates!$BK$2:$BK$301,0))&amp;"")</f>
        <v/>
      </c>
      <c r="G127" s="34">
        <f>IF($A127="","",INDEX(Candidates!$AV$2:$AV$301,MATCH(LARGE(Candidates!$BK$2:$BK$301,$A127),Candidates!$BK$2:$BK$301,0))&amp;"")</f>
        <v/>
      </c>
      <c r="H127" s="34">
        <f>IF($A127="","",INDEX(Candidates!$AW$2:$AW$301,MATCH(LARGE(Candidates!$BK$2:$BK$301,$A127),Candidates!$BK$2:$BK$301,0))&amp;"")</f>
        <v/>
      </c>
    </row>
    <row r="128">
      <c r="A128" s="32">
        <f>IF(ISNUMBER(LARGE(Candidates!$BK$2:$BK$301,124)),124,"")</f>
        <v/>
      </c>
      <c r="B128" s="33">
        <f>IF($A128="","",INDEX(Candidates!$AR$2:$AR$301,MATCH(LARGE(Candidates!$BK$2:$BK$301,$A128),Candidates!$BK$2:$BK$301,0))&amp;"")</f>
        <v/>
      </c>
      <c r="C128" s="34">
        <f>IF($A128="","",INDEX(Candidates!$AS$2:$AS$301,MATCH(LARGE(Candidates!$BK$2:$BK$301,$A128),Candidates!$BK$2:$BK$301,0))&amp;"")</f>
        <v/>
      </c>
      <c r="D128" s="34">
        <f>IF($A128="","",INDEX(Candidates!$AD$2:$AD$301,MATCH(LARGE(Candidates!$BK$2:$BK$301,$A128),Candidates!$BK$2:$BK$301,0))&amp;"")</f>
        <v/>
      </c>
      <c r="E128" s="32">
        <f>IF($A128="","",INDEX(Candidates!$BJ$2:$BJ$301,MATCH(LARGE(Candidates!$BK$2:$BK$301,$A128),Candidates!$BK$2:$BK$301,0)))</f>
        <v/>
      </c>
      <c r="F128" s="34">
        <f>IF($A128="","",INDEX(Candidates!$BL$2:$BL$301,MATCH(LARGE(Candidates!$BK$2:$BK$301,$A128),Candidates!$BK$2:$BK$301,0))&amp;"")</f>
        <v/>
      </c>
      <c r="G128" s="34">
        <f>IF($A128="","",INDEX(Candidates!$AV$2:$AV$301,MATCH(LARGE(Candidates!$BK$2:$BK$301,$A128),Candidates!$BK$2:$BK$301,0))&amp;"")</f>
        <v/>
      </c>
      <c r="H128" s="34">
        <f>IF($A128="","",INDEX(Candidates!$AW$2:$AW$301,MATCH(LARGE(Candidates!$BK$2:$BK$301,$A128),Candidates!$BK$2:$BK$301,0))&amp;"")</f>
        <v/>
      </c>
    </row>
    <row r="129">
      <c r="A129" s="32">
        <f>IF(ISNUMBER(LARGE(Candidates!$BK$2:$BK$301,125)),125,"")</f>
        <v/>
      </c>
      <c r="B129" s="33">
        <f>IF($A129="","",INDEX(Candidates!$AR$2:$AR$301,MATCH(LARGE(Candidates!$BK$2:$BK$301,$A129),Candidates!$BK$2:$BK$301,0))&amp;"")</f>
        <v/>
      </c>
      <c r="C129" s="34">
        <f>IF($A129="","",INDEX(Candidates!$AS$2:$AS$301,MATCH(LARGE(Candidates!$BK$2:$BK$301,$A129),Candidates!$BK$2:$BK$301,0))&amp;"")</f>
        <v/>
      </c>
      <c r="D129" s="34">
        <f>IF($A129="","",INDEX(Candidates!$AD$2:$AD$301,MATCH(LARGE(Candidates!$BK$2:$BK$301,$A129),Candidates!$BK$2:$BK$301,0))&amp;"")</f>
        <v/>
      </c>
      <c r="E129" s="32">
        <f>IF($A129="","",INDEX(Candidates!$BJ$2:$BJ$301,MATCH(LARGE(Candidates!$BK$2:$BK$301,$A129),Candidates!$BK$2:$BK$301,0)))</f>
        <v/>
      </c>
      <c r="F129" s="34">
        <f>IF($A129="","",INDEX(Candidates!$BL$2:$BL$301,MATCH(LARGE(Candidates!$BK$2:$BK$301,$A129),Candidates!$BK$2:$BK$301,0))&amp;"")</f>
        <v/>
      </c>
      <c r="G129" s="34">
        <f>IF($A129="","",INDEX(Candidates!$AV$2:$AV$301,MATCH(LARGE(Candidates!$BK$2:$BK$301,$A129),Candidates!$BK$2:$BK$301,0))&amp;"")</f>
        <v/>
      </c>
      <c r="H129" s="34">
        <f>IF($A129="","",INDEX(Candidates!$AW$2:$AW$301,MATCH(LARGE(Candidates!$BK$2:$BK$301,$A129),Candidates!$BK$2:$BK$301,0))&amp;"")</f>
        <v/>
      </c>
    </row>
    <row r="130">
      <c r="A130" s="32">
        <f>IF(ISNUMBER(LARGE(Candidates!$BK$2:$BK$301,126)),126,"")</f>
        <v/>
      </c>
      <c r="B130" s="33">
        <f>IF($A130="","",INDEX(Candidates!$AR$2:$AR$301,MATCH(LARGE(Candidates!$BK$2:$BK$301,$A130),Candidates!$BK$2:$BK$301,0))&amp;"")</f>
        <v/>
      </c>
      <c r="C130" s="34">
        <f>IF($A130="","",INDEX(Candidates!$AS$2:$AS$301,MATCH(LARGE(Candidates!$BK$2:$BK$301,$A130),Candidates!$BK$2:$BK$301,0))&amp;"")</f>
        <v/>
      </c>
      <c r="D130" s="34">
        <f>IF($A130="","",INDEX(Candidates!$AD$2:$AD$301,MATCH(LARGE(Candidates!$BK$2:$BK$301,$A130),Candidates!$BK$2:$BK$301,0))&amp;"")</f>
        <v/>
      </c>
      <c r="E130" s="32">
        <f>IF($A130="","",INDEX(Candidates!$BJ$2:$BJ$301,MATCH(LARGE(Candidates!$BK$2:$BK$301,$A130),Candidates!$BK$2:$BK$301,0)))</f>
        <v/>
      </c>
      <c r="F130" s="34">
        <f>IF($A130="","",INDEX(Candidates!$BL$2:$BL$301,MATCH(LARGE(Candidates!$BK$2:$BK$301,$A130),Candidates!$BK$2:$BK$301,0))&amp;"")</f>
        <v/>
      </c>
      <c r="G130" s="34">
        <f>IF($A130="","",INDEX(Candidates!$AV$2:$AV$301,MATCH(LARGE(Candidates!$BK$2:$BK$301,$A130),Candidates!$BK$2:$BK$301,0))&amp;"")</f>
        <v/>
      </c>
      <c r="H130" s="34">
        <f>IF($A130="","",INDEX(Candidates!$AW$2:$AW$301,MATCH(LARGE(Candidates!$BK$2:$BK$301,$A130),Candidates!$BK$2:$BK$301,0))&amp;"")</f>
        <v/>
      </c>
    </row>
    <row r="131">
      <c r="A131" s="32">
        <f>IF(ISNUMBER(LARGE(Candidates!$BK$2:$BK$301,127)),127,"")</f>
        <v/>
      </c>
      <c r="B131" s="33">
        <f>IF($A131="","",INDEX(Candidates!$AR$2:$AR$301,MATCH(LARGE(Candidates!$BK$2:$BK$301,$A131),Candidates!$BK$2:$BK$301,0))&amp;"")</f>
        <v/>
      </c>
      <c r="C131" s="34">
        <f>IF($A131="","",INDEX(Candidates!$AS$2:$AS$301,MATCH(LARGE(Candidates!$BK$2:$BK$301,$A131),Candidates!$BK$2:$BK$301,0))&amp;"")</f>
        <v/>
      </c>
      <c r="D131" s="34">
        <f>IF($A131="","",INDEX(Candidates!$AD$2:$AD$301,MATCH(LARGE(Candidates!$BK$2:$BK$301,$A131),Candidates!$BK$2:$BK$301,0))&amp;"")</f>
        <v/>
      </c>
      <c r="E131" s="32">
        <f>IF($A131="","",INDEX(Candidates!$BJ$2:$BJ$301,MATCH(LARGE(Candidates!$BK$2:$BK$301,$A131),Candidates!$BK$2:$BK$301,0)))</f>
        <v/>
      </c>
      <c r="F131" s="34">
        <f>IF($A131="","",INDEX(Candidates!$BL$2:$BL$301,MATCH(LARGE(Candidates!$BK$2:$BK$301,$A131),Candidates!$BK$2:$BK$301,0))&amp;"")</f>
        <v/>
      </c>
      <c r="G131" s="34">
        <f>IF($A131="","",INDEX(Candidates!$AV$2:$AV$301,MATCH(LARGE(Candidates!$BK$2:$BK$301,$A131),Candidates!$BK$2:$BK$301,0))&amp;"")</f>
        <v/>
      </c>
      <c r="H131" s="34">
        <f>IF($A131="","",INDEX(Candidates!$AW$2:$AW$301,MATCH(LARGE(Candidates!$BK$2:$BK$301,$A131),Candidates!$BK$2:$BK$301,0))&amp;"")</f>
        <v/>
      </c>
    </row>
    <row r="132">
      <c r="A132" s="32">
        <f>IF(ISNUMBER(LARGE(Candidates!$BK$2:$BK$301,128)),128,"")</f>
        <v/>
      </c>
      <c r="B132" s="33">
        <f>IF($A132="","",INDEX(Candidates!$AR$2:$AR$301,MATCH(LARGE(Candidates!$BK$2:$BK$301,$A132),Candidates!$BK$2:$BK$301,0))&amp;"")</f>
        <v/>
      </c>
      <c r="C132" s="34">
        <f>IF($A132="","",INDEX(Candidates!$AS$2:$AS$301,MATCH(LARGE(Candidates!$BK$2:$BK$301,$A132),Candidates!$BK$2:$BK$301,0))&amp;"")</f>
        <v/>
      </c>
      <c r="D132" s="34">
        <f>IF($A132="","",INDEX(Candidates!$AD$2:$AD$301,MATCH(LARGE(Candidates!$BK$2:$BK$301,$A132),Candidates!$BK$2:$BK$301,0))&amp;"")</f>
        <v/>
      </c>
      <c r="E132" s="32">
        <f>IF($A132="","",INDEX(Candidates!$BJ$2:$BJ$301,MATCH(LARGE(Candidates!$BK$2:$BK$301,$A132),Candidates!$BK$2:$BK$301,0)))</f>
        <v/>
      </c>
      <c r="F132" s="34">
        <f>IF($A132="","",INDEX(Candidates!$BL$2:$BL$301,MATCH(LARGE(Candidates!$BK$2:$BK$301,$A132),Candidates!$BK$2:$BK$301,0))&amp;"")</f>
        <v/>
      </c>
      <c r="G132" s="34">
        <f>IF($A132="","",INDEX(Candidates!$AV$2:$AV$301,MATCH(LARGE(Candidates!$BK$2:$BK$301,$A132),Candidates!$BK$2:$BK$301,0))&amp;"")</f>
        <v/>
      </c>
      <c r="H132" s="34">
        <f>IF($A132="","",INDEX(Candidates!$AW$2:$AW$301,MATCH(LARGE(Candidates!$BK$2:$BK$301,$A132),Candidates!$BK$2:$BK$301,0))&amp;"")</f>
        <v/>
      </c>
    </row>
    <row r="133">
      <c r="A133" s="32">
        <f>IF(ISNUMBER(LARGE(Candidates!$BK$2:$BK$301,129)),129,"")</f>
        <v/>
      </c>
      <c r="B133" s="33">
        <f>IF($A133="","",INDEX(Candidates!$AR$2:$AR$301,MATCH(LARGE(Candidates!$BK$2:$BK$301,$A133),Candidates!$BK$2:$BK$301,0))&amp;"")</f>
        <v/>
      </c>
      <c r="C133" s="34">
        <f>IF($A133="","",INDEX(Candidates!$AS$2:$AS$301,MATCH(LARGE(Candidates!$BK$2:$BK$301,$A133),Candidates!$BK$2:$BK$301,0))&amp;"")</f>
        <v/>
      </c>
      <c r="D133" s="34">
        <f>IF($A133="","",INDEX(Candidates!$AD$2:$AD$301,MATCH(LARGE(Candidates!$BK$2:$BK$301,$A133),Candidates!$BK$2:$BK$301,0))&amp;"")</f>
        <v/>
      </c>
      <c r="E133" s="32">
        <f>IF($A133="","",INDEX(Candidates!$BJ$2:$BJ$301,MATCH(LARGE(Candidates!$BK$2:$BK$301,$A133),Candidates!$BK$2:$BK$301,0)))</f>
        <v/>
      </c>
      <c r="F133" s="34">
        <f>IF($A133="","",INDEX(Candidates!$BL$2:$BL$301,MATCH(LARGE(Candidates!$BK$2:$BK$301,$A133),Candidates!$BK$2:$BK$301,0))&amp;"")</f>
        <v/>
      </c>
      <c r="G133" s="34">
        <f>IF($A133="","",INDEX(Candidates!$AV$2:$AV$301,MATCH(LARGE(Candidates!$BK$2:$BK$301,$A133),Candidates!$BK$2:$BK$301,0))&amp;"")</f>
        <v/>
      </c>
      <c r="H133" s="34">
        <f>IF($A133="","",INDEX(Candidates!$AW$2:$AW$301,MATCH(LARGE(Candidates!$BK$2:$BK$301,$A133),Candidates!$BK$2:$BK$301,0))&amp;"")</f>
        <v/>
      </c>
    </row>
    <row r="134">
      <c r="A134" s="32">
        <f>IF(ISNUMBER(LARGE(Candidates!$BK$2:$BK$301,130)),130,"")</f>
        <v/>
      </c>
      <c r="B134" s="33">
        <f>IF($A134="","",INDEX(Candidates!$AR$2:$AR$301,MATCH(LARGE(Candidates!$BK$2:$BK$301,$A134),Candidates!$BK$2:$BK$301,0))&amp;"")</f>
        <v/>
      </c>
      <c r="C134" s="34">
        <f>IF($A134="","",INDEX(Candidates!$AS$2:$AS$301,MATCH(LARGE(Candidates!$BK$2:$BK$301,$A134),Candidates!$BK$2:$BK$301,0))&amp;"")</f>
        <v/>
      </c>
      <c r="D134" s="34">
        <f>IF($A134="","",INDEX(Candidates!$AD$2:$AD$301,MATCH(LARGE(Candidates!$BK$2:$BK$301,$A134),Candidates!$BK$2:$BK$301,0))&amp;"")</f>
        <v/>
      </c>
      <c r="E134" s="32">
        <f>IF($A134="","",INDEX(Candidates!$BJ$2:$BJ$301,MATCH(LARGE(Candidates!$BK$2:$BK$301,$A134),Candidates!$BK$2:$BK$301,0)))</f>
        <v/>
      </c>
      <c r="F134" s="34">
        <f>IF($A134="","",INDEX(Candidates!$BL$2:$BL$301,MATCH(LARGE(Candidates!$BK$2:$BK$301,$A134),Candidates!$BK$2:$BK$301,0))&amp;"")</f>
        <v/>
      </c>
      <c r="G134" s="34">
        <f>IF($A134="","",INDEX(Candidates!$AV$2:$AV$301,MATCH(LARGE(Candidates!$BK$2:$BK$301,$A134),Candidates!$BK$2:$BK$301,0))&amp;"")</f>
        <v/>
      </c>
      <c r="H134" s="34">
        <f>IF($A134="","",INDEX(Candidates!$AW$2:$AW$301,MATCH(LARGE(Candidates!$BK$2:$BK$301,$A134),Candidates!$BK$2:$BK$301,0))&amp;"")</f>
        <v/>
      </c>
    </row>
    <row r="135">
      <c r="A135" s="32">
        <f>IF(ISNUMBER(LARGE(Candidates!$BK$2:$BK$301,131)),131,"")</f>
        <v/>
      </c>
      <c r="B135" s="33">
        <f>IF($A135="","",INDEX(Candidates!$AR$2:$AR$301,MATCH(LARGE(Candidates!$BK$2:$BK$301,$A135),Candidates!$BK$2:$BK$301,0))&amp;"")</f>
        <v/>
      </c>
      <c r="C135" s="34">
        <f>IF($A135="","",INDEX(Candidates!$AS$2:$AS$301,MATCH(LARGE(Candidates!$BK$2:$BK$301,$A135),Candidates!$BK$2:$BK$301,0))&amp;"")</f>
        <v/>
      </c>
      <c r="D135" s="34">
        <f>IF($A135="","",INDEX(Candidates!$AD$2:$AD$301,MATCH(LARGE(Candidates!$BK$2:$BK$301,$A135),Candidates!$BK$2:$BK$301,0))&amp;"")</f>
        <v/>
      </c>
      <c r="E135" s="32">
        <f>IF($A135="","",INDEX(Candidates!$BJ$2:$BJ$301,MATCH(LARGE(Candidates!$BK$2:$BK$301,$A135),Candidates!$BK$2:$BK$301,0)))</f>
        <v/>
      </c>
      <c r="F135" s="34">
        <f>IF($A135="","",INDEX(Candidates!$BL$2:$BL$301,MATCH(LARGE(Candidates!$BK$2:$BK$301,$A135),Candidates!$BK$2:$BK$301,0))&amp;"")</f>
        <v/>
      </c>
      <c r="G135" s="34">
        <f>IF($A135="","",INDEX(Candidates!$AV$2:$AV$301,MATCH(LARGE(Candidates!$BK$2:$BK$301,$A135),Candidates!$BK$2:$BK$301,0))&amp;"")</f>
        <v/>
      </c>
      <c r="H135" s="34">
        <f>IF($A135="","",INDEX(Candidates!$AW$2:$AW$301,MATCH(LARGE(Candidates!$BK$2:$BK$301,$A135),Candidates!$BK$2:$BK$301,0))&amp;"")</f>
        <v/>
      </c>
    </row>
    <row r="136">
      <c r="A136" s="32">
        <f>IF(ISNUMBER(LARGE(Candidates!$BK$2:$BK$301,132)),132,"")</f>
        <v/>
      </c>
      <c r="B136" s="33">
        <f>IF($A136="","",INDEX(Candidates!$AR$2:$AR$301,MATCH(LARGE(Candidates!$BK$2:$BK$301,$A136),Candidates!$BK$2:$BK$301,0))&amp;"")</f>
        <v/>
      </c>
      <c r="C136" s="34">
        <f>IF($A136="","",INDEX(Candidates!$AS$2:$AS$301,MATCH(LARGE(Candidates!$BK$2:$BK$301,$A136),Candidates!$BK$2:$BK$301,0))&amp;"")</f>
        <v/>
      </c>
      <c r="D136" s="34">
        <f>IF($A136="","",INDEX(Candidates!$AD$2:$AD$301,MATCH(LARGE(Candidates!$BK$2:$BK$301,$A136),Candidates!$BK$2:$BK$301,0))&amp;"")</f>
        <v/>
      </c>
      <c r="E136" s="32">
        <f>IF($A136="","",INDEX(Candidates!$BJ$2:$BJ$301,MATCH(LARGE(Candidates!$BK$2:$BK$301,$A136),Candidates!$BK$2:$BK$301,0)))</f>
        <v/>
      </c>
      <c r="F136" s="34">
        <f>IF($A136="","",INDEX(Candidates!$BL$2:$BL$301,MATCH(LARGE(Candidates!$BK$2:$BK$301,$A136),Candidates!$BK$2:$BK$301,0))&amp;"")</f>
        <v/>
      </c>
      <c r="G136" s="34">
        <f>IF($A136="","",INDEX(Candidates!$AV$2:$AV$301,MATCH(LARGE(Candidates!$BK$2:$BK$301,$A136),Candidates!$BK$2:$BK$301,0))&amp;"")</f>
        <v/>
      </c>
      <c r="H136" s="34">
        <f>IF($A136="","",INDEX(Candidates!$AW$2:$AW$301,MATCH(LARGE(Candidates!$BK$2:$BK$301,$A136),Candidates!$BK$2:$BK$301,0))&amp;"")</f>
        <v/>
      </c>
    </row>
    <row r="137">
      <c r="A137" s="32">
        <f>IF(ISNUMBER(LARGE(Candidates!$BK$2:$BK$301,133)),133,"")</f>
        <v/>
      </c>
      <c r="B137" s="33">
        <f>IF($A137="","",INDEX(Candidates!$AR$2:$AR$301,MATCH(LARGE(Candidates!$BK$2:$BK$301,$A137),Candidates!$BK$2:$BK$301,0))&amp;"")</f>
        <v/>
      </c>
      <c r="C137" s="34">
        <f>IF($A137="","",INDEX(Candidates!$AS$2:$AS$301,MATCH(LARGE(Candidates!$BK$2:$BK$301,$A137),Candidates!$BK$2:$BK$301,0))&amp;"")</f>
        <v/>
      </c>
      <c r="D137" s="34">
        <f>IF($A137="","",INDEX(Candidates!$AD$2:$AD$301,MATCH(LARGE(Candidates!$BK$2:$BK$301,$A137),Candidates!$BK$2:$BK$301,0))&amp;"")</f>
        <v/>
      </c>
      <c r="E137" s="32">
        <f>IF($A137="","",INDEX(Candidates!$BJ$2:$BJ$301,MATCH(LARGE(Candidates!$BK$2:$BK$301,$A137),Candidates!$BK$2:$BK$301,0)))</f>
        <v/>
      </c>
      <c r="F137" s="34">
        <f>IF($A137="","",INDEX(Candidates!$BL$2:$BL$301,MATCH(LARGE(Candidates!$BK$2:$BK$301,$A137),Candidates!$BK$2:$BK$301,0))&amp;"")</f>
        <v/>
      </c>
      <c r="G137" s="34">
        <f>IF($A137="","",INDEX(Candidates!$AV$2:$AV$301,MATCH(LARGE(Candidates!$BK$2:$BK$301,$A137),Candidates!$BK$2:$BK$301,0))&amp;"")</f>
        <v/>
      </c>
      <c r="H137" s="34">
        <f>IF($A137="","",INDEX(Candidates!$AW$2:$AW$301,MATCH(LARGE(Candidates!$BK$2:$BK$301,$A137),Candidates!$BK$2:$BK$301,0))&amp;"")</f>
        <v/>
      </c>
    </row>
    <row r="138">
      <c r="A138" s="32">
        <f>IF(ISNUMBER(LARGE(Candidates!$BK$2:$BK$301,134)),134,"")</f>
        <v/>
      </c>
      <c r="B138" s="33">
        <f>IF($A138="","",INDEX(Candidates!$AR$2:$AR$301,MATCH(LARGE(Candidates!$BK$2:$BK$301,$A138),Candidates!$BK$2:$BK$301,0))&amp;"")</f>
        <v/>
      </c>
      <c r="C138" s="34">
        <f>IF($A138="","",INDEX(Candidates!$AS$2:$AS$301,MATCH(LARGE(Candidates!$BK$2:$BK$301,$A138),Candidates!$BK$2:$BK$301,0))&amp;"")</f>
        <v/>
      </c>
      <c r="D138" s="34">
        <f>IF($A138="","",INDEX(Candidates!$AD$2:$AD$301,MATCH(LARGE(Candidates!$BK$2:$BK$301,$A138),Candidates!$BK$2:$BK$301,0))&amp;"")</f>
        <v/>
      </c>
      <c r="E138" s="32">
        <f>IF($A138="","",INDEX(Candidates!$BJ$2:$BJ$301,MATCH(LARGE(Candidates!$BK$2:$BK$301,$A138),Candidates!$BK$2:$BK$301,0)))</f>
        <v/>
      </c>
      <c r="F138" s="34">
        <f>IF($A138="","",INDEX(Candidates!$BL$2:$BL$301,MATCH(LARGE(Candidates!$BK$2:$BK$301,$A138),Candidates!$BK$2:$BK$301,0))&amp;"")</f>
        <v/>
      </c>
      <c r="G138" s="34">
        <f>IF($A138="","",INDEX(Candidates!$AV$2:$AV$301,MATCH(LARGE(Candidates!$BK$2:$BK$301,$A138),Candidates!$BK$2:$BK$301,0))&amp;"")</f>
        <v/>
      </c>
      <c r="H138" s="34">
        <f>IF($A138="","",INDEX(Candidates!$AW$2:$AW$301,MATCH(LARGE(Candidates!$BK$2:$BK$301,$A138),Candidates!$BK$2:$BK$301,0))&amp;"")</f>
        <v/>
      </c>
    </row>
    <row r="139">
      <c r="A139" s="32">
        <f>IF(ISNUMBER(LARGE(Candidates!$BK$2:$BK$301,135)),135,"")</f>
        <v/>
      </c>
      <c r="B139" s="33">
        <f>IF($A139="","",INDEX(Candidates!$AR$2:$AR$301,MATCH(LARGE(Candidates!$BK$2:$BK$301,$A139),Candidates!$BK$2:$BK$301,0))&amp;"")</f>
        <v/>
      </c>
      <c r="C139" s="34">
        <f>IF($A139="","",INDEX(Candidates!$AS$2:$AS$301,MATCH(LARGE(Candidates!$BK$2:$BK$301,$A139),Candidates!$BK$2:$BK$301,0))&amp;"")</f>
        <v/>
      </c>
      <c r="D139" s="34">
        <f>IF($A139="","",INDEX(Candidates!$AD$2:$AD$301,MATCH(LARGE(Candidates!$BK$2:$BK$301,$A139),Candidates!$BK$2:$BK$301,0))&amp;"")</f>
        <v/>
      </c>
      <c r="E139" s="32">
        <f>IF($A139="","",INDEX(Candidates!$BJ$2:$BJ$301,MATCH(LARGE(Candidates!$BK$2:$BK$301,$A139),Candidates!$BK$2:$BK$301,0)))</f>
        <v/>
      </c>
      <c r="F139" s="34">
        <f>IF($A139="","",INDEX(Candidates!$BL$2:$BL$301,MATCH(LARGE(Candidates!$BK$2:$BK$301,$A139),Candidates!$BK$2:$BK$301,0))&amp;"")</f>
        <v/>
      </c>
      <c r="G139" s="34">
        <f>IF($A139="","",INDEX(Candidates!$AV$2:$AV$301,MATCH(LARGE(Candidates!$BK$2:$BK$301,$A139),Candidates!$BK$2:$BK$301,0))&amp;"")</f>
        <v/>
      </c>
      <c r="H139" s="34">
        <f>IF($A139="","",INDEX(Candidates!$AW$2:$AW$301,MATCH(LARGE(Candidates!$BK$2:$BK$301,$A139),Candidates!$BK$2:$BK$301,0))&amp;"")</f>
        <v/>
      </c>
    </row>
    <row r="140">
      <c r="A140" s="32">
        <f>IF(ISNUMBER(LARGE(Candidates!$BK$2:$BK$301,136)),136,"")</f>
        <v/>
      </c>
      <c r="B140" s="33">
        <f>IF($A140="","",INDEX(Candidates!$AR$2:$AR$301,MATCH(LARGE(Candidates!$BK$2:$BK$301,$A140),Candidates!$BK$2:$BK$301,0))&amp;"")</f>
        <v/>
      </c>
      <c r="C140" s="34">
        <f>IF($A140="","",INDEX(Candidates!$AS$2:$AS$301,MATCH(LARGE(Candidates!$BK$2:$BK$301,$A140),Candidates!$BK$2:$BK$301,0))&amp;"")</f>
        <v/>
      </c>
      <c r="D140" s="34">
        <f>IF($A140="","",INDEX(Candidates!$AD$2:$AD$301,MATCH(LARGE(Candidates!$BK$2:$BK$301,$A140),Candidates!$BK$2:$BK$301,0))&amp;"")</f>
        <v/>
      </c>
      <c r="E140" s="32">
        <f>IF($A140="","",INDEX(Candidates!$BJ$2:$BJ$301,MATCH(LARGE(Candidates!$BK$2:$BK$301,$A140),Candidates!$BK$2:$BK$301,0)))</f>
        <v/>
      </c>
      <c r="F140" s="34">
        <f>IF($A140="","",INDEX(Candidates!$BL$2:$BL$301,MATCH(LARGE(Candidates!$BK$2:$BK$301,$A140),Candidates!$BK$2:$BK$301,0))&amp;"")</f>
        <v/>
      </c>
      <c r="G140" s="34">
        <f>IF($A140="","",INDEX(Candidates!$AV$2:$AV$301,MATCH(LARGE(Candidates!$BK$2:$BK$301,$A140),Candidates!$BK$2:$BK$301,0))&amp;"")</f>
        <v/>
      </c>
      <c r="H140" s="34">
        <f>IF($A140="","",INDEX(Candidates!$AW$2:$AW$301,MATCH(LARGE(Candidates!$BK$2:$BK$301,$A140),Candidates!$BK$2:$BK$301,0))&amp;"")</f>
        <v/>
      </c>
    </row>
    <row r="141">
      <c r="A141" s="32">
        <f>IF(ISNUMBER(LARGE(Candidates!$BK$2:$BK$301,137)),137,"")</f>
        <v/>
      </c>
      <c r="B141" s="33">
        <f>IF($A141="","",INDEX(Candidates!$AR$2:$AR$301,MATCH(LARGE(Candidates!$BK$2:$BK$301,$A141),Candidates!$BK$2:$BK$301,0))&amp;"")</f>
        <v/>
      </c>
      <c r="C141" s="34">
        <f>IF($A141="","",INDEX(Candidates!$AS$2:$AS$301,MATCH(LARGE(Candidates!$BK$2:$BK$301,$A141),Candidates!$BK$2:$BK$301,0))&amp;"")</f>
        <v/>
      </c>
      <c r="D141" s="34">
        <f>IF($A141="","",INDEX(Candidates!$AD$2:$AD$301,MATCH(LARGE(Candidates!$BK$2:$BK$301,$A141),Candidates!$BK$2:$BK$301,0))&amp;"")</f>
        <v/>
      </c>
      <c r="E141" s="32">
        <f>IF($A141="","",INDEX(Candidates!$BJ$2:$BJ$301,MATCH(LARGE(Candidates!$BK$2:$BK$301,$A141),Candidates!$BK$2:$BK$301,0)))</f>
        <v/>
      </c>
      <c r="F141" s="34">
        <f>IF($A141="","",INDEX(Candidates!$BL$2:$BL$301,MATCH(LARGE(Candidates!$BK$2:$BK$301,$A141),Candidates!$BK$2:$BK$301,0))&amp;"")</f>
        <v/>
      </c>
      <c r="G141" s="34">
        <f>IF($A141="","",INDEX(Candidates!$AV$2:$AV$301,MATCH(LARGE(Candidates!$BK$2:$BK$301,$A141),Candidates!$BK$2:$BK$301,0))&amp;"")</f>
        <v/>
      </c>
      <c r="H141" s="34">
        <f>IF($A141="","",INDEX(Candidates!$AW$2:$AW$301,MATCH(LARGE(Candidates!$BK$2:$BK$301,$A141),Candidates!$BK$2:$BK$301,0))&amp;"")</f>
        <v/>
      </c>
    </row>
    <row r="142">
      <c r="A142" s="32">
        <f>IF(ISNUMBER(LARGE(Candidates!$BK$2:$BK$301,138)),138,"")</f>
        <v/>
      </c>
      <c r="B142" s="33">
        <f>IF($A142="","",INDEX(Candidates!$AR$2:$AR$301,MATCH(LARGE(Candidates!$BK$2:$BK$301,$A142),Candidates!$BK$2:$BK$301,0))&amp;"")</f>
        <v/>
      </c>
      <c r="C142" s="34">
        <f>IF($A142="","",INDEX(Candidates!$AS$2:$AS$301,MATCH(LARGE(Candidates!$BK$2:$BK$301,$A142),Candidates!$BK$2:$BK$301,0))&amp;"")</f>
        <v/>
      </c>
      <c r="D142" s="34">
        <f>IF($A142="","",INDEX(Candidates!$AD$2:$AD$301,MATCH(LARGE(Candidates!$BK$2:$BK$301,$A142),Candidates!$BK$2:$BK$301,0))&amp;"")</f>
        <v/>
      </c>
      <c r="E142" s="32">
        <f>IF($A142="","",INDEX(Candidates!$BJ$2:$BJ$301,MATCH(LARGE(Candidates!$BK$2:$BK$301,$A142),Candidates!$BK$2:$BK$301,0)))</f>
        <v/>
      </c>
      <c r="F142" s="34">
        <f>IF($A142="","",INDEX(Candidates!$BL$2:$BL$301,MATCH(LARGE(Candidates!$BK$2:$BK$301,$A142),Candidates!$BK$2:$BK$301,0))&amp;"")</f>
        <v/>
      </c>
      <c r="G142" s="34">
        <f>IF($A142="","",INDEX(Candidates!$AV$2:$AV$301,MATCH(LARGE(Candidates!$BK$2:$BK$301,$A142),Candidates!$BK$2:$BK$301,0))&amp;"")</f>
        <v/>
      </c>
      <c r="H142" s="34">
        <f>IF($A142="","",INDEX(Candidates!$AW$2:$AW$301,MATCH(LARGE(Candidates!$BK$2:$BK$301,$A142),Candidates!$BK$2:$BK$301,0))&amp;"")</f>
        <v/>
      </c>
    </row>
    <row r="143">
      <c r="A143" s="32">
        <f>IF(ISNUMBER(LARGE(Candidates!$BK$2:$BK$301,139)),139,"")</f>
        <v/>
      </c>
      <c r="B143" s="33">
        <f>IF($A143="","",INDEX(Candidates!$AR$2:$AR$301,MATCH(LARGE(Candidates!$BK$2:$BK$301,$A143),Candidates!$BK$2:$BK$301,0))&amp;"")</f>
        <v/>
      </c>
      <c r="C143" s="34">
        <f>IF($A143="","",INDEX(Candidates!$AS$2:$AS$301,MATCH(LARGE(Candidates!$BK$2:$BK$301,$A143),Candidates!$BK$2:$BK$301,0))&amp;"")</f>
        <v/>
      </c>
      <c r="D143" s="34">
        <f>IF($A143="","",INDEX(Candidates!$AD$2:$AD$301,MATCH(LARGE(Candidates!$BK$2:$BK$301,$A143),Candidates!$BK$2:$BK$301,0))&amp;"")</f>
        <v/>
      </c>
      <c r="E143" s="32">
        <f>IF($A143="","",INDEX(Candidates!$BJ$2:$BJ$301,MATCH(LARGE(Candidates!$BK$2:$BK$301,$A143),Candidates!$BK$2:$BK$301,0)))</f>
        <v/>
      </c>
      <c r="F143" s="34">
        <f>IF($A143="","",INDEX(Candidates!$BL$2:$BL$301,MATCH(LARGE(Candidates!$BK$2:$BK$301,$A143),Candidates!$BK$2:$BK$301,0))&amp;"")</f>
        <v/>
      </c>
      <c r="G143" s="34">
        <f>IF($A143="","",INDEX(Candidates!$AV$2:$AV$301,MATCH(LARGE(Candidates!$BK$2:$BK$301,$A143),Candidates!$BK$2:$BK$301,0))&amp;"")</f>
        <v/>
      </c>
      <c r="H143" s="34">
        <f>IF($A143="","",INDEX(Candidates!$AW$2:$AW$301,MATCH(LARGE(Candidates!$BK$2:$BK$301,$A143),Candidates!$BK$2:$BK$301,0))&amp;"")</f>
        <v/>
      </c>
    </row>
    <row r="144">
      <c r="A144" s="32">
        <f>IF(ISNUMBER(LARGE(Candidates!$BK$2:$BK$301,140)),140,"")</f>
        <v/>
      </c>
      <c r="B144" s="33">
        <f>IF($A144="","",INDEX(Candidates!$AR$2:$AR$301,MATCH(LARGE(Candidates!$BK$2:$BK$301,$A144),Candidates!$BK$2:$BK$301,0))&amp;"")</f>
        <v/>
      </c>
      <c r="C144" s="34">
        <f>IF($A144="","",INDEX(Candidates!$AS$2:$AS$301,MATCH(LARGE(Candidates!$BK$2:$BK$301,$A144),Candidates!$BK$2:$BK$301,0))&amp;"")</f>
        <v/>
      </c>
      <c r="D144" s="34">
        <f>IF($A144="","",INDEX(Candidates!$AD$2:$AD$301,MATCH(LARGE(Candidates!$BK$2:$BK$301,$A144),Candidates!$BK$2:$BK$301,0))&amp;"")</f>
        <v/>
      </c>
      <c r="E144" s="32">
        <f>IF($A144="","",INDEX(Candidates!$BJ$2:$BJ$301,MATCH(LARGE(Candidates!$BK$2:$BK$301,$A144),Candidates!$BK$2:$BK$301,0)))</f>
        <v/>
      </c>
      <c r="F144" s="34">
        <f>IF($A144="","",INDEX(Candidates!$BL$2:$BL$301,MATCH(LARGE(Candidates!$BK$2:$BK$301,$A144),Candidates!$BK$2:$BK$301,0))&amp;"")</f>
        <v/>
      </c>
      <c r="G144" s="34">
        <f>IF($A144="","",INDEX(Candidates!$AV$2:$AV$301,MATCH(LARGE(Candidates!$BK$2:$BK$301,$A144),Candidates!$BK$2:$BK$301,0))&amp;"")</f>
        <v/>
      </c>
      <c r="H144" s="34">
        <f>IF($A144="","",INDEX(Candidates!$AW$2:$AW$301,MATCH(LARGE(Candidates!$BK$2:$BK$301,$A144),Candidates!$BK$2:$BK$301,0))&amp;"")</f>
        <v/>
      </c>
    </row>
    <row r="145">
      <c r="A145" s="32">
        <f>IF(ISNUMBER(LARGE(Candidates!$BK$2:$BK$301,141)),141,"")</f>
        <v/>
      </c>
      <c r="B145" s="33">
        <f>IF($A145="","",INDEX(Candidates!$AR$2:$AR$301,MATCH(LARGE(Candidates!$BK$2:$BK$301,$A145),Candidates!$BK$2:$BK$301,0))&amp;"")</f>
        <v/>
      </c>
      <c r="C145" s="34">
        <f>IF($A145="","",INDEX(Candidates!$AS$2:$AS$301,MATCH(LARGE(Candidates!$BK$2:$BK$301,$A145),Candidates!$BK$2:$BK$301,0))&amp;"")</f>
        <v/>
      </c>
      <c r="D145" s="34">
        <f>IF($A145="","",INDEX(Candidates!$AD$2:$AD$301,MATCH(LARGE(Candidates!$BK$2:$BK$301,$A145),Candidates!$BK$2:$BK$301,0))&amp;"")</f>
        <v/>
      </c>
      <c r="E145" s="32">
        <f>IF($A145="","",INDEX(Candidates!$BJ$2:$BJ$301,MATCH(LARGE(Candidates!$BK$2:$BK$301,$A145),Candidates!$BK$2:$BK$301,0)))</f>
        <v/>
      </c>
      <c r="F145" s="34">
        <f>IF($A145="","",INDEX(Candidates!$BL$2:$BL$301,MATCH(LARGE(Candidates!$BK$2:$BK$301,$A145),Candidates!$BK$2:$BK$301,0))&amp;"")</f>
        <v/>
      </c>
      <c r="G145" s="34">
        <f>IF($A145="","",INDEX(Candidates!$AV$2:$AV$301,MATCH(LARGE(Candidates!$BK$2:$BK$301,$A145),Candidates!$BK$2:$BK$301,0))&amp;"")</f>
        <v/>
      </c>
      <c r="H145" s="34">
        <f>IF($A145="","",INDEX(Candidates!$AW$2:$AW$301,MATCH(LARGE(Candidates!$BK$2:$BK$301,$A145),Candidates!$BK$2:$BK$301,0))&amp;"")</f>
        <v/>
      </c>
    </row>
    <row r="146">
      <c r="A146" s="32">
        <f>IF(ISNUMBER(LARGE(Candidates!$BK$2:$BK$301,142)),142,"")</f>
        <v/>
      </c>
      <c r="B146" s="33">
        <f>IF($A146="","",INDEX(Candidates!$AR$2:$AR$301,MATCH(LARGE(Candidates!$BK$2:$BK$301,$A146),Candidates!$BK$2:$BK$301,0))&amp;"")</f>
        <v/>
      </c>
      <c r="C146" s="34">
        <f>IF($A146="","",INDEX(Candidates!$AS$2:$AS$301,MATCH(LARGE(Candidates!$BK$2:$BK$301,$A146),Candidates!$BK$2:$BK$301,0))&amp;"")</f>
        <v/>
      </c>
      <c r="D146" s="34">
        <f>IF($A146="","",INDEX(Candidates!$AD$2:$AD$301,MATCH(LARGE(Candidates!$BK$2:$BK$301,$A146),Candidates!$BK$2:$BK$301,0))&amp;"")</f>
        <v/>
      </c>
      <c r="E146" s="32">
        <f>IF($A146="","",INDEX(Candidates!$BJ$2:$BJ$301,MATCH(LARGE(Candidates!$BK$2:$BK$301,$A146),Candidates!$BK$2:$BK$301,0)))</f>
        <v/>
      </c>
      <c r="F146" s="34">
        <f>IF($A146="","",INDEX(Candidates!$BL$2:$BL$301,MATCH(LARGE(Candidates!$BK$2:$BK$301,$A146),Candidates!$BK$2:$BK$301,0))&amp;"")</f>
        <v/>
      </c>
      <c r="G146" s="34">
        <f>IF($A146="","",INDEX(Candidates!$AV$2:$AV$301,MATCH(LARGE(Candidates!$BK$2:$BK$301,$A146),Candidates!$BK$2:$BK$301,0))&amp;"")</f>
        <v/>
      </c>
      <c r="H146" s="34">
        <f>IF($A146="","",INDEX(Candidates!$AW$2:$AW$301,MATCH(LARGE(Candidates!$BK$2:$BK$301,$A146),Candidates!$BK$2:$BK$301,0))&amp;"")</f>
        <v/>
      </c>
    </row>
    <row r="147">
      <c r="A147" s="32">
        <f>IF(ISNUMBER(LARGE(Candidates!$BK$2:$BK$301,143)),143,"")</f>
        <v/>
      </c>
      <c r="B147" s="33">
        <f>IF($A147="","",INDEX(Candidates!$AR$2:$AR$301,MATCH(LARGE(Candidates!$BK$2:$BK$301,$A147),Candidates!$BK$2:$BK$301,0))&amp;"")</f>
        <v/>
      </c>
      <c r="C147" s="34">
        <f>IF($A147="","",INDEX(Candidates!$AS$2:$AS$301,MATCH(LARGE(Candidates!$BK$2:$BK$301,$A147),Candidates!$BK$2:$BK$301,0))&amp;"")</f>
        <v/>
      </c>
      <c r="D147" s="34">
        <f>IF($A147="","",INDEX(Candidates!$AD$2:$AD$301,MATCH(LARGE(Candidates!$BK$2:$BK$301,$A147),Candidates!$BK$2:$BK$301,0))&amp;"")</f>
        <v/>
      </c>
      <c r="E147" s="32">
        <f>IF($A147="","",INDEX(Candidates!$BJ$2:$BJ$301,MATCH(LARGE(Candidates!$BK$2:$BK$301,$A147),Candidates!$BK$2:$BK$301,0)))</f>
        <v/>
      </c>
      <c r="F147" s="34">
        <f>IF($A147="","",INDEX(Candidates!$BL$2:$BL$301,MATCH(LARGE(Candidates!$BK$2:$BK$301,$A147),Candidates!$BK$2:$BK$301,0))&amp;"")</f>
        <v/>
      </c>
      <c r="G147" s="34">
        <f>IF($A147="","",INDEX(Candidates!$AV$2:$AV$301,MATCH(LARGE(Candidates!$BK$2:$BK$301,$A147),Candidates!$BK$2:$BK$301,0))&amp;"")</f>
        <v/>
      </c>
      <c r="H147" s="34">
        <f>IF($A147="","",INDEX(Candidates!$AW$2:$AW$301,MATCH(LARGE(Candidates!$BK$2:$BK$301,$A147),Candidates!$BK$2:$BK$301,0))&amp;"")</f>
        <v/>
      </c>
    </row>
    <row r="148">
      <c r="A148" s="32">
        <f>IF(ISNUMBER(LARGE(Candidates!$BK$2:$BK$301,144)),144,"")</f>
        <v/>
      </c>
      <c r="B148" s="33">
        <f>IF($A148="","",INDEX(Candidates!$AR$2:$AR$301,MATCH(LARGE(Candidates!$BK$2:$BK$301,$A148),Candidates!$BK$2:$BK$301,0))&amp;"")</f>
        <v/>
      </c>
      <c r="C148" s="34">
        <f>IF($A148="","",INDEX(Candidates!$AS$2:$AS$301,MATCH(LARGE(Candidates!$BK$2:$BK$301,$A148),Candidates!$BK$2:$BK$301,0))&amp;"")</f>
        <v/>
      </c>
      <c r="D148" s="34">
        <f>IF($A148="","",INDEX(Candidates!$AD$2:$AD$301,MATCH(LARGE(Candidates!$BK$2:$BK$301,$A148),Candidates!$BK$2:$BK$301,0))&amp;"")</f>
        <v/>
      </c>
      <c r="E148" s="32">
        <f>IF($A148="","",INDEX(Candidates!$BJ$2:$BJ$301,MATCH(LARGE(Candidates!$BK$2:$BK$301,$A148),Candidates!$BK$2:$BK$301,0)))</f>
        <v/>
      </c>
      <c r="F148" s="34">
        <f>IF($A148="","",INDEX(Candidates!$BL$2:$BL$301,MATCH(LARGE(Candidates!$BK$2:$BK$301,$A148),Candidates!$BK$2:$BK$301,0))&amp;"")</f>
        <v/>
      </c>
      <c r="G148" s="34">
        <f>IF($A148="","",INDEX(Candidates!$AV$2:$AV$301,MATCH(LARGE(Candidates!$BK$2:$BK$301,$A148),Candidates!$BK$2:$BK$301,0))&amp;"")</f>
        <v/>
      </c>
      <c r="H148" s="34">
        <f>IF($A148="","",INDEX(Candidates!$AW$2:$AW$301,MATCH(LARGE(Candidates!$BK$2:$BK$301,$A148),Candidates!$BK$2:$BK$301,0))&amp;"")</f>
        <v/>
      </c>
    </row>
    <row r="149">
      <c r="A149" s="32">
        <f>IF(ISNUMBER(LARGE(Candidates!$BK$2:$BK$301,145)),145,"")</f>
        <v/>
      </c>
      <c r="B149" s="33">
        <f>IF($A149="","",INDEX(Candidates!$AR$2:$AR$301,MATCH(LARGE(Candidates!$BK$2:$BK$301,$A149),Candidates!$BK$2:$BK$301,0))&amp;"")</f>
        <v/>
      </c>
      <c r="C149" s="34">
        <f>IF($A149="","",INDEX(Candidates!$AS$2:$AS$301,MATCH(LARGE(Candidates!$BK$2:$BK$301,$A149),Candidates!$BK$2:$BK$301,0))&amp;"")</f>
        <v/>
      </c>
      <c r="D149" s="34">
        <f>IF($A149="","",INDEX(Candidates!$AD$2:$AD$301,MATCH(LARGE(Candidates!$BK$2:$BK$301,$A149),Candidates!$BK$2:$BK$301,0))&amp;"")</f>
        <v/>
      </c>
      <c r="E149" s="32">
        <f>IF($A149="","",INDEX(Candidates!$BJ$2:$BJ$301,MATCH(LARGE(Candidates!$BK$2:$BK$301,$A149),Candidates!$BK$2:$BK$301,0)))</f>
        <v/>
      </c>
      <c r="F149" s="34">
        <f>IF($A149="","",INDEX(Candidates!$BL$2:$BL$301,MATCH(LARGE(Candidates!$BK$2:$BK$301,$A149),Candidates!$BK$2:$BK$301,0))&amp;"")</f>
        <v/>
      </c>
      <c r="G149" s="34">
        <f>IF($A149="","",INDEX(Candidates!$AV$2:$AV$301,MATCH(LARGE(Candidates!$BK$2:$BK$301,$A149),Candidates!$BK$2:$BK$301,0))&amp;"")</f>
        <v/>
      </c>
      <c r="H149" s="34">
        <f>IF($A149="","",INDEX(Candidates!$AW$2:$AW$301,MATCH(LARGE(Candidates!$BK$2:$BK$301,$A149),Candidates!$BK$2:$BK$301,0))&amp;"")</f>
        <v/>
      </c>
    </row>
    <row r="150">
      <c r="A150" s="32">
        <f>IF(ISNUMBER(LARGE(Candidates!$BK$2:$BK$301,146)),146,"")</f>
        <v/>
      </c>
      <c r="B150" s="33">
        <f>IF($A150="","",INDEX(Candidates!$AR$2:$AR$301,MATCH(LARGE(Candidates!$BK$2:$BK$301,$A150),Candidates!$BK$2:$BK$301,0))&amp;"")</f>
        <v/>
      </c>
      <c r="C150" s="34">
        <f>IF($A150="","",INDEX(Candidates!$AS$2:$AS$301,MATCH(LARGE(Candidates!$BK$2:$BK$301,$A150),Candidates!$BK$2:$BK$301,0))&amp;"")</f>
        <v/>
      </c>
      <c r="D150" s="34">
        <f>IF($A150="","",INDEX(Candidates!$AD$2:$AD$301,MATCH(LARGE(Candidates!$BK$2:$BK$301,$A150),Candidates!$BK$2:$BK$301,0))&amp;"")</f>
        <v/>
      </c>
      <c r="E150" s="32">
        <f>IF($A150="","",INDEX(Candidates!$BJ$2:$BJ$301,MATCH(LARGE(Candidates!$BK$2:$BK$301,$A150),Candidates!$BK$2:$BK$301,0)))</f>
        <v/>
      </c>
      <c r="F150" s="34">
        <f>IF($A150="","",INDEX(Candidates!$BL$2:$BL$301,MATCH(LARGE(Candidates!$BK$2:$BK$301,$A150),Candidates!$BK$2:$BK$301,0))&amp;"")</f>
        <v/>
      </c>
      <c r="G150" s="34">
        <f>IF($A150="","",INDEX(Candidates!$AV$2:$AV$301,MATCH(LARGE(Candidates!$BK$2:$BK$301,$A150),Candidates!$BK$2:$BK$301,0))&amp;"")</f>
        <v/>
      </c>
      <c r="H150" s="34">
        <f>IF($A150="","",INDEX(Candidates!$AW$2:$AW$301,MATCH(LARGE(Candidates!$BK$2:$BK$301,$A150),Candidates!$BK$2:$BK$301,0))&amp;"")</f>
        <v/>
      </c>
    </row>
    <row r="151">
      <c r="A151" s="32">
        <f>IF(ISNUMBER(LARGE(Candidates!$BK$2:$BK$301,147)),147,"")</f>
        <v/>
      </c>
      <c r="B151" s="33">
        <f>IF($A151="","",INDEX(Candidates!$AR$2:$AR$301,MATCH(LARGE(Candidates!$BK$2:$BK$301,$A151),Candidates!$BK$2:$BK$301,0))&amp;"")</f>
        <v/>
      </c>
      <c r="C151" s="34">
        <f>IF($A151="","",INDEX(Candidates!$AS$2:$AS$301,MATCH(LARGE(Candidates!$BK$2:$BK$301,$A151),Candidates!$BK$2:$BK$301,0))&amp;"")</f>
        <v/>
      </c>
      <c r="D151" s="34">
        <f>IF($A151="","",INDEX(Candidates!$AD$2:$AD$301,MATCH(LARGE(Candidates!$BK$2:$BK$301,$A151),Candidates!$BK$2:$BK$301,0))&amp;"")</f>
        <v/>
      </c>
      <c r="E151" s="32">
        <f>IF($A151="","",INDEX(Candidates!$BJ$2:$BJ$301,MATCH(LARGE(Candidates!$BK$2:$BK$301,$A151),Candidates!$BK$2:$BK$301,0)))</f>
        <v/>
      </c>
      <c r="F151" s="34">
        <f>IF($A151="","",INDEX(Candidates!$BL$2:$BL$301,MATCH(LARGE(Candidates!$BK$2:$BK$301,$A151),Candidates!$BK$2:$BK$301,0))&amp;"")</f>
        <v/>
      </c>
      <c r="G151" s="34">
        <f>IF($A151="","",INDEX(Candidates!$AV$2:$AV$301,MATCH(LARGE(Candidates!$BK$2:$BK$301,$A151),Candidates!$BK$2:$BK$301,0))&amp;"")</f>
        <v/>
      </c>
      <c r="H151" s="34">
        <f>IF($A151="","",INDEX(Candidates!$AW$2:$AW$301,MATCH(LARGE(Candidates!$BK$2:$BK$301,$A151),Candidates!$BK$2:$BK$301,0))&amp;"")</f>
        <v/>
      </c>
    </row>
    <row r="152">
      <c r="A152" s="32">
        <f>IF(ISNUMBER(LARGE(Candidates!$BK$2:$BK$301,148)),148,"")</f>
        <v/>
      </c>
      <c r="B152" s="33">
        <f>IF($A152="","",INDEX(Candidates!$AR$2:$AR$301,MATCH(LARGE(Candidates!$BK$2:$BK$301,$A152),Candidates!$BK$2:$BK$301,0))&amp;"")</f>
        <v/>
      </c>
      <c r="C152" s="34">
        <f>IF($A152="","",INDEX(Candidates!$AS$2:$AS$301,MATCH(LARGE(Candidates!$BK$2:$BK$301,$A152),Candidates!$BK$2:$BK$301,0))&amp;"")</f>
        <v/>
      </c>
      <c r="D152" s="34">
        <f>IF($A152="","",INDEX(Candidates!$AD$2:$AD$301,MATCH(LARGE(Candidates!$BK$2:$BK$301,$A152),Candidates!$BK$2:$BK$301,0))&amp;"")</f>
        <v/>
      </c>
      <c r="E152" s="32">
        <f>IF($A152="","",INDEX(Candidates!$BJ$2:$BJ$301,MATCH(LARGE(Candidates!$BK$2:$BK$301,$A152),Candidates!$BK$2:$BK$301,0)))</f>
        <v/>
      </c>
      <c r="F152" s="34">
        <f>IF($A152="","",INDEX(Candidates!$BL$2:$BL$301,MATCH(LARGE(Candidates!$BK$2:$BK$301,$A152),Candidates!$BK$2:$BK$301,0))&amp;"")</f>
        <v/>
      </c>
      <c r="G152" s="34">
        <f>IF($A152="","",INDEX(Candidates!$AV$2:$AV$301,MATCH(LARGE(Candidates!$BK$2:$BK$301,$A152),Candidates!$BK$2:$BK$301,0))&amp;"")</f>
        <v/>
      </c>
      <c r="H152" s="34">
        <f>IF($A152="","",INDEX(Candidates!$AW$2:$AW$301,MATCH(LARGE(Candidates!$BK$2:$BK$301,$A152),Candidates!$BK$2:$BK$301,0))&amp;"")</f>
        <v/>
      </c>
    </row>
    <row r="153">
      <c r="A153" s="32">
        <f>IF(ISNUMBER(LARGE(Candidates!$BK$2:$BK$301,149)),149,"")</f>
        <v/>
      </c>
      <c r="B153" s="33">
        <f>IF($A153="","",INDEX(Candidates!$AR$2:$AR$301,MATCH(LARGE(Candidates!$BK$2:$BK$301,$A153),Candidates!$BK$2:$BK$301,0))&amp;"")</f>
        <v/>
      </c>
      <c r="C153" s="34">
        <f>IF($A153="","",INDEX(Candidates!$AS$2:$AS$301,MATCH(LARGE(Candidates!$BK$2:$BK$301,$A153),Candidates!$BK$2:$BK$301,0))&amp;"")</f>
        <v/>
      </c>
      <c r="D153" s="34">
        <f>IF($A153="","",INDEX(Candidates!$AD$2:$AD$301,MATCH(LARGE(Candidates!$BK$2:$BK$301,$A153),Candidates!$BK$2:$BK$301,0))&amp;"")</f>
        <v/>
      </c>
      <c r="E153" s="32">
        <f>IF($A153="","",INDEX(Candidates!$BJ$2:$BJ$301,MATCH(LARGE(Candidates!$BK$2:$BK$301,$A153),Candidates!$BK$2:$BK$301,0)))</f>
        <v/>
      </c>
      <c r="F153" s="34">
        <f>IF($A153="","",INDEX(Candidates!$BL$2:$BL$301,MATCH(LARGE(Candidates!$BK$2:$BK$301,$A153),Candidates!$BK$2:$BK$301,0))&amp;"")</f>
        <v/>
      </c>
      <c r="G153" s="34">
        <f>IF($A153="","",INDEX(Candidates!$AV$2:$AV$301,MATCH(LARGE(Candidates!$BK$2:$BK$301,$A153),Candidates!$BK$2:$BK$301,0))&amp;"")</f>
        <v/>
      </c>
      <c r="H153" s="34">
        <f>IF($A153="","",INDEX(Candidates!$AW$2:$AW$301,MATCH(LARGE(Candidates!$BK$2:$BK$301,$A153),Candidates!$BK$2:$BK$301,0))&amp;"")</f>
        <v/>
      </c>
    </row>
    <row r="154">
      <c r="A154" s="32">
        <f>IF(ISNUMBER(LARGE(Candidates!$BK$2:$BK$301,150)),150,"")</f>
        <v/>
      </c>
      <c r="B154" s="33">
        <f>IF($A154="","",INDEX(Candidates!$AR$2:$AR$301,MATCH(LARGE(Candidates!$BK$2:$BK$301,$A154),Candidates!$BK$2:$BK$301,0))&amp;"")</f>
        <v/>
      </c>
      <c r="C154" s="34">
        <f>IF($A154="","",INDEX(Candidates!$AS$2:$AS$301,MATCH(LARGE(Candidates!$BK$2:$BK$301,$A154),Candidates!$BK$2:$BK$301,0))&amp;"")</f>
        <v/>
      </c>
      <c r="D154" s="34">
        <f>IF($A154="","",INDEX(Candidates!$AD$2:$AD$301,MATCH(LARGE(Candidates!$BK$2:$BK$301,$A154),Candidates!$BK$2:$BK$301,0))&amp;"")</f>
        <v/>
      </c>
      <c r="E154" s="32">
        <f>IF($A154="","",INDEX(Candidates!$BJ$2:$BJ$301,MATCH(LARGE(Candidates!$BK$2:$BK$301,$A154),Candidates!$BK$2:$BK$301,0)))</f>
        <v/>
      </c>
      <c r="F154" s="34">
        <f>IF($A154="","",INDEX(Candidates!$BL$2:$BL$301,MATCH(LARGE(Candidates!$BK$2:$BK$301,$A154),Candidates!$BK$2:$BK$301,0))&amp;"")</f>
        <v/>
      </c>
      <c r="G154" s="34">
        <f>IF($A154="","",INDEX(Candidates!$AV$2:$AV$301,MATCH(LARGE(Candidates!$BK$2:$BK$301,$A154),Candidates!$BK$2:$BK$301,0))&amp;"")</f>
        <v/>
      </c>
      <c r="H154" s="34">
        <f>IF($A154="","",INDEX(Candidates!$AW$2:$AW$301,MATCH(LARGE(Candidates!$BK$2:$BK$301,$A154),Candidates!$BK$2:$BK$301,0))&amp;"")</f>
        <v/>
      </c>
    </row>
    <row r="155">
      <c r="A155" s="32">
        <f>IF(ISNUMBER(LARGE(Candidates!$BK$2:$BK$301,151)),151,"")</f>
        <v/>
      </c>
      <c r="B155" s="33">
        <f>IF($A155="","",INDEX(Candidates!$AR$2:$AR$301,MATCH(LARGE(Candidates!$BK$2:$BK$301,$A155),Candidates!$BK$2:$BK$301,0))&amp;"")</f>
        <v/>
      </c>
      <c r="C155" s="34">
        <f>IF($A155="","",INDEX(Candidates!$AS$2:$AS$301,MATCH(LARGE(Candidates!$BK$2:$BK$301,$A155),Candidates!$BK$2:$BK$301,0))&amp;"")</f>
        <v/>
      </c>
      <c r="D155" s="34">
        <f>IF($A155="","",INDEX(Candidates!$AD$2:$AD$301,MATCH(LARGE(Candidates!$BK$2:$BK$301,$A155),Candidates!$BK$2:$BK$301,0))&amp;"")</f>
        <v/>
      </c>
      <c r="E155" s="32">
        <f>IF($A155="","",INDEX(Candidates!$BJ$2:$BJ$301,MATCH(LARGE(Candidates!$BK$2:$BK$301,$A155),Candidates!$BK$2:$BK$301,0)))</f>
        <v/>
      </c>
      <c r="F155" s="34">
        <f>IF($A155="","",INDEX(Candidates!$BL$2:$BL$301,MATCH(LARGE(Candidates!$BK$2:$BK$301,$A155),Candidates!$BK$2:$BK$301,0))&amp;"")</f>
        <v/>
      </c>
      <c r="G155" s="34">
        <f>IF($A155="","",INDEX(Candidates!$AV$2:$AV$301,MATCH(LARGE(Candidates!$BK$2:$BK$301,$A155),Candidates!$BK$2:$BK$301,0))&amp;"")</f>
        <v/>
      </c>
      <c r="H155" s="34">
        <f>IF($A155="","",INDEX(Candidates!$AW$2:$AW$301,MATCH(LARGE(Candidates!$BK$2:$BK$301,$A155),Candidates!$BK$2:$BK$301,0))&amp;"")</f>
        <v/>
      </c>
    </row>
    <row r="156">
      <c r="A156" s="32">
        <f>IF(ISNUMBER(LARGE(Candidates!$BK$2:$BK$301,152)),152,"")</f>
        <v/>
      </c>
      <c r="B156" s="33">
        <f>IF($A156="","",INDEX(Candidates!$AR$2:$AR$301,MATCH(LARGE(Candidates!$BK$2:$BK$301,$A156),Candidates!$BK$2:$BK$301,0))&amp;"")</f>
        <v/>
      </c>
      <c r="C156" s="34">
        <f>IF($A156="","",INDEX(Candidates!$AS$2:$AS$301,MATCH(LARGE(Candidates!$BK$2:$BK$301,$A156),Candidates!$BK$2:$BK$301,0))&amp;"")</f>
        <v/>
      </c>
      <c r="D156" s="34">
        <f>IF($A156="","",INDEX(Candidates!$AD$2:$AD$301,MATCH(LARGE(Candidates!$BK$2:$BK$301,$A156),Candidates!$BK$2:$BK$301,0))&amp;"")</f>
        <v/>
      </c>
      <c r="E156" s="32">
        <f>IF($A156="","",INDEX(Candidates!$BJ$2:$BJ$301,MATCH(LARGE(Candidates!$BK$2:$BK$301,$A156),Candidates!$BK$2:$BK$301,0)))</f>
        <v/>
      </c>
      <c r="F156" s="34">
        <f>IF($A156="","",INDEX(Candidates!$BL$2:$BL$301,MATCH(LARGE(Candidates!$BK$2:$BK$301,$A156),Candidates!$BK$2:$BK$301,0))&amp;"")</f>
        <v/>
      </c>
      <c r="G156" s="34">
        <f>IF($A156="","",INDEX(Candidates!$AV$2:$AV$301,MATCH(LARGE(Candidates!$BK$2:$BK$301,$A156),Candidates!$BK$2:$BK$301,0))&amp;"")</f>
        <v/>
      </c>
      <c r="H156" s="34">
        <f>IF($A156="","",INDEX(Candidates!$AW$2:$AW$301,MATCH(LARGE(Candidates!$BK$2:$BK$301,$A156),Candidates!$BK$2:$BK$301,0))&amp;"")</f>
        <v/>
      </c>
    </row>
    <row r="157">
      <c r="A157" s="32">
        <f>IF(ISNUMBER(LARGE(Candidates!$BK$2:$BK$301,153)),153,"")</f>
        <v/>
      </c>
      <c r="B157" s="33">
        <f>IF($A157="","",INDEX(Candidates!$AR$2:$AR$301,MATCH(LARGE(Candidates!$BK$2:$BK$301,$A157),Candidates!$BK$2:$BK$301,0))&amp;"")</f>
        <v/>
      </c>
      <c r="C157" s="34">
        <f>IF($A157="","",INDEX(Candidates!$AS$2:$AS$301,MATCH(LARGE(Candidates!$BK$2:$BK$301,$A157),Candidates!$BK$2:$BK$301,0))&amp;"")</f>
        <v/>
      </c>
      <c r="D157" s="34">
        <f>IF($A157="","",INDEX(Candidates!$AD$2:$AD$301,MATCH(LARGE(Candidates!$BK$2:$BK$301,$A157),Candidates!$BK$2:$BK$301,0))&amp;"")</f>
        <v/>
      </c>
      <c r="E157" s="32">
        <f>IF($A157="","",INDEX(Candidates!$BJ$2:$BJ$301,MATCH(LARGE(Candidates!$BK$2:$BK$301,$A157),Candidates!$BK$2:$BK$301,0)))</f>
        <v/>
      </c>
      <c r="F157" s="34">
        <f>IF($A157="","",INDEX(Candidates!$BL$2:$BL$301,MATCH(LARGE(Candidates!$BK$2:$BK$301,$A157),Candidates!$BK$2:$BK$301,0))&amp;"")</f>
        <v/>
      </c>
      <c r="G157" s="34">
        <f>IF($A157="","",INDEX(Candidates!$AV$2:$AV$301,MATCH(LARGE(Candidates!$BK$2:$BK$301,$A157),Candidates!$BK$2:$BK$301,0))&amp;"")</f>
        <v/>
      </c>
      <c r="H157" s="34">
        <f>IF($A157="","",INDEX(Candidates!$AW$2:$AW$301,MATCH(LARGE(Candidates!$BK$2:$BK$301,$A157),Candidates!$BK$2:$BK$301,0))&amp;"")</f>
        <v/>
      </c>
    </row>
    <row r="158">
      <c r="A158" s="32">
        <f>IF(ISNUMBER(LARGE(Candidates!$BK$2:$BK$301,154)),154,"")</f>
        <v/>
      </c>
      <c r="B158" s="33">
        <f>IF($A158="","",INDEX(Candidates!$AR$2:$AR$301,MATCH(LARGE(Candidates!$BK$2:$BK$301,$A158),Candidates!$BK$2:$BK$301,0))&amp;"")</f>
        <v/>
      </c>
      <c r="C158" s="34">
        <f>IF($A158="","",INDEX(Candidates!$AS$2:$AS$301,MATCH(LARGE(Candidates!$BK$2:$BK$301,$A158),Candidates!$BK$2:$BK$301,0))&amp;"")</f>
        <v/>
      </c>
      <c r="D158" s="34">
        <f>IF($A158="","",INDEX(Candidates!$AD$2:$AD$301,MATCH(LARGE(Candidates!$BK$2:$BK$301,$A158),Candidates!$BK$2:$BK$301,0))&amp;"")</f>
        <v/>
      </c>
      <c r="E158" s="32">
        <f>IF($A158="","",INDEX(Candidates!$BJ$2:$BJ$301,MATCH(LARGE(Candidates!$BK$2:$BK$301,$A158),Candidates!$BK$2:$BK$301,0)))</f>
        <v/>
      </c>
      <c r="F158" s="34">
        <f>IF($A158="","",INDEX(Candidates!$BL$2:$BL$301,MATCH(LARGE(Candidates!$BK$2:$BK$301,$A158),Candidates!$BK$2:$BK$301,0))&amp;"")</f>
        <v/>
      </c>
      <c r="G158" s="34">
        <f>IF($A158="","",INDEX(Candidates!$AV$2:$AV$301,MATCH(LARGE(Candidates!$BK$2:$BK$301,$A158),Candidates!$BK$2:$BK$301,0))&amp;"")</f>
        <v/>
      </c>
      <c r="H158" s="34">
        <f>IF($A158="","",INDEX(Candidates!$AW$2:$AW$301,MATCH(LARGE(Candidates!$BK$2:$BK$301,$A158),Candidates!$BK$2:$BK$301,0))&amp;"")</f>
        <v/>
      </c>
    </row>
    <row r="159">
      <c r="A159" s="32">
        <f>IF(ISNUMBER(LARGE(Candidates!$BK$2:$BK$301,155)),155,"")</f>
        <v/>
      </c>
      <c r="B159" s="33">
        <f>IF($A159="","",INDEX(Candidates!$AR$2:$AR$301,MATCH(LARGE(Candidates!$BK$2:$BK$301,$A159),Candidates!$BK$2:$BK$301,0))&amp;"")</f>
        <v/>
      </c>
      <c r="C159" s="34">
        <f>IF($A159="","",INDEX(Candidates!$AS$2:$AS$301,MATCH(LARGE(Candidates!$BK$2:$BK$301,$A159),Candidates!$BK$2:$BK$301,0))&amp;"")</f>
        <v/>
      </c>
      <c r="D159" s="34">
        <f>IF($A159="","",INDEX(Candidates!$AD$2:$AD$301,MATCH(LARGE(Candidates!$BK$2:$BK$301,$A159),Candidates!$BK$2:$BK$301,0))&amp;"")</f>
        <v/>
      </c>
      <c r="E159" s="32">
        <f>IF($A159="","",INDEX(Candidates!$BJ$2:$BJ$301,MATCH(LARGE(Candidates!$BK$2:$BK$301,$A159),Candidates!$BK$2:$BK$301,0)))</f>
        <v/>
      </c>
      <c r="F159" s="34">
        <f>IF($A159="","",INDEX(Candidates!$BL$2:$BL$301,MATCH(LARGE(Candidates!$BK$2:$BK$301,$A159),Candidates!$BK$2:$BK$301,0))&amp;"")</f>
        <v/>
      </c>
      <c r="G159" s="34">
        <f>IF($A159="","",INDEX(Candidates!$AV$2:$AV$301,MATCH(LARGE(Candidates!$BK$2:$BK$301,$A159),Candidates!$BK$2:$BK$301,0))&amp;"")</f>
        <v/>
      </c>
      <c r="H159" s="34">
        <f>IF($A159="","",INDEX(Candidates!$AW$2:$AW$301,MATCH(LARGE(Candidates!$BK$2:$BK$301,$A159),Candidates!$BK$2:$BK$301,0))&amp;"")</f>
        <v/>
      </c>
    </row>
    <row r="160">
      <c r="A160" s="32">
        <f>IF(ISNUMBER(LARGE(Candidates!$BK$2:$BK$301,156)),156,"")</f>
        <v/>
      </c>
      <c r="B160" s="33">
        <f>IF($A160="","",INDEX(Candidates!$AR$2:$AR$301,MATCH(LARGE(Candidates!$BK$2:$BK$301,$A160),Candidates!$BK$2:$BK$301,0))&amp;"")</f>
        <v/>
      </c>
      <c r="C160" s="34">
        <f>IF($A160="","",INDEX(Candidates!$AS$2:$AS$301,MATCH(LARGE(Candidates!$BK$2:$BK$301,$A160),Candidates!$BK$2:$BK$301,0))&amp;"")</f>
        <v/>
      </c>
      <c r="D160" s="34">
        <f>IF($A160="","",INDEX(Candidates!$AD$2:$AD$301,MATCH(LARGE(Candidates!$BK$2:$BK$301,$A160),Candidates!$BK$2:$BK$301,0))&amp;"")</f>
        <v/>
      </c>
      <c r="E160" s="32">
        <f>IF($A160="","",INDEX(Candidates!$BJ$2:$BJ$301,MATCH(LARGE(Candidates!$BK$2:$BK$301,$A160),Candidates!$BK$2:$BK$301,0)))</f>
        <v/>
      </c>
      <c r="F160" s="34">
        <f>IF($A160="","",INDEX(Candidates!$BL$2:$BL$301,MATCH(LARGE(Candidates!$BK$2:$BK$301,$A160),Candidates!$BK$2:$BK$301,0))&amp;"")</f>
        <v/>
      </c>
      <c r="G160" s="34">
        <f>IF($A160="","",INDEX(Candidates!$AV$2:$AV$301,MATCH(LARGE(Candidates!$BK$2:$BK$301,$A160),Candidates!$BK$2:$BK$301,0))&amp;"")</f>
        <v/>
      </c>
      <c r="H160" s="34">
        <f>IF($A160="","",INDEX(Candidates!$AW$2:$AW$301,MATCH(LARGE(Candidates!$BK$2:$BK$301,$A160),Candidates!$BK$2:$BK$301,0))&amp;"")</f>
        <v/>
      </c>
    </row>
    <row r="161">
      <c r="A161" s="32">
        <f>IF(ISNUMBER(LARGE(Candidates!$BK$2:$BK$301,157)),157,"")</f>
        <v/>
      </c>
      <c r="B161" s="33">
        <f>IF($A161="","",INDEX(Candidates!$AR$2:$AR$301,MATCH(LARGE(Candidates!$BK$2:$BK$301,$A161),Candidates!$BK$2:$BK$301,0))&amp;"")</f>
        <v/>
      </c>
      <c r="C161" s="34">
        <f>IF($A161="","",INDEX(Candidates!$AS$2:$AS$301,MATCH(LARGE(Candidates!$BK$2:$BK$301,$A161),Candidates!$BK$2:$BK$301,0))&amp;"")</f>
        <v/>
      </c>
      <c r="D161" s="34">
        <f>IF($A161="","",INDEX(Candidates!$AD$2:$AD$301,MATCH(LARGE(Candidates!$BK$2:$BK$301,$A161),Candidates!$BK$2:$BK$301,0))&amp;"")</f>
        <v/>
      </c>
      <c r="E161" s="32">
        <f>IF($A161="","",INDEX(Candidates!$BJ$2:$BJ$301,MATCH(LARGE(Candidates!$BK$2:$BK$301,$A161),Candidates!$BK$2:$BK$301,0)))</f>
        <v/>
      </c>
      <c r="F161" s="34">
        <f>IF($A161="","",INDEX(Candidates!$BL$2:$BL$301,MATCH(LARGE(Candidates!$BK$2:$BK$301,$A161),Candidates!$BK$2:$BK$301,0))&amp;"")</f>
        <v/>
      </c>
      <c r="G161" s="34">
        <f>IF($A161="","",INDEX(Candidates!$AV$2:$AV$301,MATCH(LARGE(Candidates!$BK$2:$BK$301,$A161),Candidates!$BK$2:$BK$301,0))&amp;"")</f>
        <v/>
      </c>
      <c r="H161" s="34">
        <f>IF($A161="","",INDEX(Candidates!$AW$2:$AW$301,MATCH(LARGE(Candidates!$BK$2:$BK$301,$A161),Candidates!$BK$2:$BK$301,0))&amp;"")</f>
        <v/>
      </c>
    </row>
    <row r="162">
      <c r="A162" s="32">
        <f>IF(ISNUMBER(LARGE(Candidates!$BK$2:$BK$301,158)),158,"")</f>
        <v/>
      </c>
      <c r="B162" s="33">
        <f>IF($A162="","",INDEX(Candidates!$AR$2:$AR$301,MATCH(LARGE(Candidates!$BK$2:$BK$301,$A162),Candidates!$BK$2:$BK$301,0))&amp;"")</f>
        <v/>
      </c>
      <c r="C162" s="34">
        <f>IF($A162="","",INDEX(Candidates!$AS$2:$AS$301,MATCH(LARGE(Candidates!$BK$2:$BK$301,$A162),Candidates!$BK$2:$BK$301,0))&amp;"")</f>
        <v/>
      </c>
      <c r="D162" s="34">
        <f>IF($A162="","",INDEX(Candidates!$AD$2:$AD$301,MATCH(LARGE(Candidates!$BK$2:$BK$301,$A162),Candidates!$BK$2:$BK$301,0))&amp;"")</f>
        <v/>
      </c>
      <c r="E162" s="32">
        <f>IF($A162="","",INDEX(Candidates!$BJ$2:$BJ$301,MATCH(LARGE(Candidates!$BK$2:$BK$301,$A162),Candidates!$BK$2:$BK$301,0)))</f>
        <v/>
      </c>
      <c r="F162" s="34">
        <f>IF($A162="","",INDEX(Candidates!$BL$2:$BL$301,MATCH(LARGE(Candidates!$BK$2:$BK$301,$A162),Candidates!$BK$2:$BK$301,0))&amp;"")</f>
        <v/>
      </c>
      <c r="G162" s="34">
        <f>IF($A162="","",INDEX(Candidates!$AV$2:$AV$301,MATCH(LARGE(Candidates!$BK$2:$BK$301,$A162),Candidates!$BK$2:$BK$301,0))&amp;"")</f>
        <v/>
      </c>
      <c r="H162" s="34">
        <f>IF($A162="","",INDEX(Candidates!$AW$2:$AW$301,MATCH(LARGE(Candidates!$BK$2:$BK$301,$A162),Candidates!$BK$2:$BK$301,0))&amp;"")</f>
        <v/>
      </c>
    </row>
    <row r="163">
      <c r="A163" s="32">
        <f>IF(ISNUMBER(LARGE(Candidates!$BK$2:$BK$301,159)),159,"")</f>
        <v/>
      </c>
      <c r="B163" s="33">
        <f>IF($A163="","",INDEX(Candidates!$AR$2:$AR$301,MATCH(LARGE(Candidates!$BK$2:$BK$301,$A163),Candidates!$BK$2:$BK$301,0))&amp;"")</f>
        <v/>
      </c>
      <c r="C163" s="34">
        <f>IF($A163="","",INDEX(Candidates!$AS$2:$AS$301,MATCH(LARGE(Candidates!$BK$2:$BK$301,$A163),Candidates!$BK$2:$BK$301,0))&amp;"")</f>
        <v/>
      </c>
      <c r="D163" s="34">
        <f>IF($A163="","",INDEX(Candidates!$AD$2:$AD$301,MATCH(LARGE(Candidates!$BK$2:$BK$301,$A163),Candidates!$BK$2:$BK$301,0))&amp;"")</f>
        <v/>
      </c>
      <c r="E163" s="32">
        <f>IF($A163="","",INDEX(Candidates!$BJ$2:$BJ$301,MATCH(LARGE(Candidates!$BK$2:$BK$301,$A163),Candidates!$BK$2:$BK$301,0)))</f>
        <v/>
      </c>
      <c r="F163" s="34">
        <f>IF($A163="","",INDEX(Candidates!$BL$2:$BL$301,MATCH(LARGE(Candidates!$BK$2:$BK$301,$A163),Candidates!$BK$2:$BK$301,0))&amp;"")</f>
        <v/>
      </c>
      <c r="G163" s="34">
        <f>IF($A163="","",INDEX(Candidates!$AV$2:$AV$301,MATCH(LARGE(Candidates!$BK$2:$BK$301,$A163),Candidates!$BK$2:$BK$301,0))&amp;"")</f>
        <v/>
      </c>
      <c r="H163" s="34">
        <f>IF($A163="","",INDEX(Candidates!$AW$2:$AW$301,MATCH(LARGE(Candidates!$BK$2:$BK$301,$A163),Candidates!$BK$2:$BK$301,0))&amp;"")</f>
        <v/>
      </c>
    </row>
    <row r="164">
      <c r="A164" s="32">
        <f>IF(ISNUMBER(LARGE(Candidates!$BK$2:$BK$301,160)),160,"")</f>
        <v/>
      </c>
      <c r="B164" s="33">
        <f>IF($A164="","",INDEX(Candidates!$AR$2:$AR$301,MATCH(LARGE(Candidates!$BK$2:$BK$301,$A164),Candidates!$BK$2:$BK$301,0))&amp;"")</f>
        <v/>
      </c>
      <c r="C164" s="34">
        <f>IF($A164="","",INDEX(Candidates!$AS$2:$AS$301,MATCH(LARGE(Candidates!$BK$2:$BK$301,$A164),Candidates!$BK$2:$BK$301,0))&amp;"")</f>
        <v/>
      </c>
      <c r="D164" s="34">
        <f>IF($A164="","",INDEX(Candidates!$AD$2:$AD$301,MATCH(LARGE(Candidates!$BK$2:$BK$301,$A164),Candidates!$BK$2:$BK$301,0))&amp;"")</f>
        <v/>
      </c>
      <c r="E164" s="32">
        <f>IF($A164="","",INDEX(Candidates!$BJ$2:$BJ$301,MATCH(LARGE(Candidates!$BK$2:$BK$301,$A164),Candidates!$BK$2:$BK$301,0)))</f>
        <v/>
      </c>
      <c r="F164" s="34">
        <f>IF($A164="","",INDEX(Candidates!$BL$2:$BL$301,MATCH(LARGE(Candidates!$BK$2:$BK$301,$A164),Candidates!$BK$2:$BK$301,0))&amp;"")</f>
        <v/>
      </c>
      <c r="G164" s="34">
        <f>IF($A164="","",INDEX(Candidates!$AV$2:$AV$301,MATCH(LARGE(Candidates!$BK$2:$BK$301,$A164),Candidates!$BK$2:$BK$301,0))&amp;"")</f>
        <v/>
      </c>
      <c r="H164" s="34">
        <f>IF($A164="","",INDEX(Candidates!$AW$2:$AW$301,MATCH(LARGE(Candidates!$BK$2:$BK$301,$A164),Candidates!$BK$2:$BK$301,0))&amp;"")</f>
        <v/>
      </c>
    </row>
    <row r="165">
      <c r="A165" s="32">
        <f>IF(ISNUMBER(LARGE(Candidates!$BK$2:$BK$301,161)),161,"")</f>
        <v/>
      </c>
      <c r="B165" s="33">
        <f>IF($A165="","",INDEX(Candidates!$AR$2:$AR$301,MATCH(LARGE(Candidates!$BK$2:$BK$301,$A165),Candidates!$BK$2:$BK$301,0))&amp;"")</f>
        <v/>
      </c>
      <c r="C165" s="34">
        <f>IF($A165="","",INDEX(Candidates!$AS$2:$AS$301,MATCH(LARGE(Candidates!$BK$2:$BK$301,$A165),Candidates!$BK$2:$BK$301,0))&amp;"")</f>
        <v/>
      </c>
      <c r="D165" s="34">
        <f>IF($A165="","",INDEX(Candidates!$AD$2:$AD$301,MATCH(LARGE(Candidates!$BK$2:$BK$301,$A165),Candidates!$BK$2:$BK$301,0))&amp;"")</f>
        <v/>
      </c>
      <c r="E165" s="32">
        <f>IF($A165="","",INDEX(Candidates!$BJ$2:$BJ$301,MATCH(LARGE(Candidates!$BK$2:$BK$301,$A165),Candidates!$BK$2:$BK$301,0)))</f>
        <v/>
      </c>
      <c r="F165" s="34">
        <f>IF($A165="","",INDEX(Candidates!$BL$2:$BL$301,MATCH(LARGE(Candidates!$BK$2:$BK$301,$A165),Candidates!$BK$2:$BK$301,0))&amp;"")</f>
        <v/>
      </c>
      <c r="G165" s="34">
        <f>IF($A165="","",INDEX(Candidates!$AV$2:$AV$301,MATCH(LARGE(Candidates!$BK$2:$BK$301,$A165),Candidates!$BK$2:$BK$301,0))&amp;"")</f>
        <v/>
      </c>
      <c r="H165" s="34">
        <f>IF($A165="","",INDEX(Candidates!$AW$2:$AW$301,MATCH(LARGE(Candidates!$BK$2:$BK$301,$A165),Candidates!$BK$2:$BK$301,0))&amp;"")</f>
        <v/>
      </c>
    </row>
    <row r="166">
      <c r="A166" s="32">
        <f>IF(ISNUMBER(LARGE(Candidates!$BK$2:$BK$301,162)),162,"")</f>
        <v/>
      </c>
      <c r="B166" s="33">
        <f>IF($A166="","",INDEX(Candidates!$AR$2:$AR$301,MATCH(LARGE(Candidates!$BK$2:$BK$301,$A166),Candidates!$BK$2:$BK$301,0))&amp;"")</f>
        <v/>
      </c>
      <c r="C166" s="34">
        <f>IF($A166="","",INDEX(Candidates!$AS$2:$AS$301,MATCH(LARGE(Candidates!$BK$2:$BK$301,$A166),Candidates!$BK$2:$BK$301,0))&amp;"")</f>
        <v/>
      </c>
      <c r="D166" s="34">
        <f>IF($A166="","",INDEX(Candidates!$AD$2:$AD$301,MATCH(LARGE(Candidates!$BK$2:$BK$301,$A166),Candidates!$BK$2:$BK$301,0))&amp;"")</f>
        <v/>
      </c>
      <c r="E166" s="32">
        <f>IF($A166="","",INDEX(Candidates!$BJ$2:$BJ$301,MATCH(LARGE(Candidates!$BK$2:$BK$301,$A166),Candidates!$BK$2:$BK$301,0)))</f>
        <v/>
      </c>
      <c r="F166" s="34">
        <f>IF($A166="","",INDEX(Candidates!$BL$2:$BL$301,MATCH(LARGE(Candidates!$BK$2:$BK$301,$A166),Candidates!$BK$2:$BK$301,0))&amp;"")</f>
        <v/>
      </c>
      <c r="G166" s="34">
        <f>IF($A166="","",INDEX(Candidates!$AV$2:$AV$301,MATCH(LARGE(Candidates!$BK$2:$BK$301,$A166),Candidates!$BK$2:$BK$301,0))&amp;"")</f>
        <v/>
      </c>
      <c r="H166" s="34">
        <f>IF($A166="","",INDEX(Candidates!$AW$2:$AW$301,MATCH(LARGE(Candidates!$BK$2:$BK$301,$A166),Candidates!$BK$2:$BK$301,0))&amp;"")</f>
        <v/>
      </c>
    </row>
    <row r="167">
      <c r="A167" s="32">
        <f>IF(ISNUMBER(LARGE(Candidates!$BK$2:$BK$301,163)),163,"")</f>
        <v/>
      </c>
      <c r="B167" s="33">
        <f>IF($A167="","",INDEX(Candidates!$AR$2:$AR$301,MATCH(LARGE(Candidates!$BK$2:$BK$301,$A167),Candidates!$BK$2:$BK$301,0))&amp;"")</f>
        <v/>
      </c>
      <c r="C167" s="34">
        <f>IF($A167="","",INDEX(Candidates!$AS$2:$AS$301,MATCH(LARGE(Candidates!$BK$2:$BK$301,$A167),Candidates!$BK$2:$BK$301,0))&amp;"")</f>
        <v/>
      </c>
      <c r="D167" s="34">
        <f>IF($A167="","",INDEX(Candidates!$AD$2:$AD$301,MATCH(LARGE(Candidates!$BK$2:$BK$301,$A167),Candidates!$BK$2:$BK$301,0))&amp;"")</f>
        <v/>
      </c>
      <c r="E167" s="32">
        <f>IF($A167="","",INDEX(Candidates!$BJ$2:$BJ$301,MATCH(LARGE(Candidates!$BK$2:$BK$301,$A167),Candidates!$BK$2:$BK$301,0)))</f>
        <v/>
      </c>
      <c r="F167" s="34">
        <f>IF($A167="","",INDEX(Candidates!$BL$2:$BL$301,MATCH(LARGE(Candidates!$BK$2:$BK$301,$A167),Candidates!$BK$2:$BK$301,0))&amp;"")</f>
        <v/>
      </c>
      <c r="G167" s="34">
        <f>IF($A167="","",INDEX(Candidates!$AV$2:$AV$301,MATCH(LARGE(Candidates!$BK$2:$BK$301,$A167),Candidates!$BK$2:$BK$301,0))&amp;"")</f>
        <v/>
      </c>
      <c r="H167" s="34">
        <f>IF($A167="","",INDEX(Candidates!$AW$2:$AW$301,MATCH(LARGE(Candidates!$BK$2:$BK$301,$A167),Candidates!$BK$2:$BK$301,0))&amp;"")</f>
        <v/>
      </c>
    </row>
    <row r="168">
      <c r="A168" s="32">
        <f>IF(ISNUMBER(LARGE(Candidates!$BK$2:$BK$301,164)),164,"")</f>
        <v/>
      </c>
      <c r="B168" s="33">
        <f>IF($A168="","",INDEX(Candidates!$AR$2:$AR$301,MATCH(LARGE(Candidates!$BK$2:$BK$301,$A168),Candidates!$BK$2:$BK$301,0))&amp;"")</f>
        <v/>
      </c>
      <c r="C168" s="34">
        <f>IF($A168="","",INDEX(Candidates!$AS$2:$AS$301,MATCH(LARGE(Candidates!$BK$2:$BK$301,$A168),Candidates!$BK$2:$BK$301,0))&amp;"")</f>
        <v/>
      </c>
      <c r="D168" s="34">
        <f>IF($A168="","",INDEX(Candidates!$AD$2:$AD$301,MATCH(LARGE(Candidates!$BK$2:$BK$301,$A168),Candidates!$BK$2:$BK$301,0))&amp;"")</f>
        <v/>
      </c>
      <c r="E168" s="32">
        <f>IF($A168="","",INDEX(Candidates!$BJ$2:$BJ$301,MATCH(LARGE(Candidates!$BK$2:$BK$301,$A168),Candidates!$BK$2:$BK$301,0)))</f>
        <v/>
      </c>
      <c r="F168" s="34">
        <f>IF($A168="","",INDEX(Candidates!$BL$2:$BL$301,MATCH(LARGE(Candidates!$BK$2:$BK$301,$A168),Candidates!$BK$2:$BK$301,0))&amp;"")</f>
        <v/>
      </c>
      <c r="G168" s="34">
        <f>IF($A168="","",INDEX(Candidates!$AV$2:$AV$301,MATCH(LARGE(Candidates!$BK$2:$BK$301,$A168),Candidates!$BK$2:$BK$301,0))&amp;"")</f>
        <v/>
      </c>
      <c r="H168" s="34">
        <f>IF($A168="","",INDEX(Candidates!$AW$2:$AW$301,MATCH(LARGE(Candidates!$BK$2:$BK$301,$A168),Candidates!$BK$2:$BK$301,0))&amp;"")</f>
        <v/>
      </c>
    </row>
    <row r="169">
      <c r="A169" s="32">
        <f>IF(ISNUMBER(LARGE(Candidates!$BK$2:$BK$301,165)),165,"")</f>
        <v/>
      </c>
      <c r="B169" s="33">
        <f>IF($A169="","",INDEX(Candidates!$AR$2:$AR$301,MATCH(LARGE(Candidates!$BK$2:$BK$301,$A169),Candidates!$BK$2:$BK$301,0))&amp;"")</f>
        <v/>
      </c>
      <c r="C169" s="34">
        <f>IF($A169="","",INDEX(Candidates!$AS$2:$AS$301,MATCH(LARGE(Candidates!$BK$2:$BK$301,$A169),Candidates!$BK$2:$BK$301,0))&amp;"")</f>
        <v/>
      </c>
      <c r="D169" s="34">
        <f>IF($A169="","",INDEX(Candidates!$AD$2:$AD$301,MATCH(LARGE(Candidates!$BK$2:$BK$301,$A169),Candidates!$BK$2:$BK$301,0))&amp;"")</f>
        <v/>
      </c>
      <c r="E169" s="32">
        <f>IF($A169="","",INDEX(Candidates!$BJ$2:$BJ$301,MATCH(LARGE(Candidates!$BK$2:$BK$301,$A169),Candidates!$BK$2:$BK$301,0)))</f>
        <v/>
      </c>
      <c r="F169" s="34">
        <f>IF($A169="","",INDEX(Candidates!$BL$2:$BL$301,MATCH(LARGE(Candidates!$BK$2:$BK$301,$A169),Candidates!$BK$2:$BK$301,0))&amp;"")</f>
        <v/>
      </c>
      <c r="G169" s="34">
        <f>IF($A169="","",INDEX(Candidates!$AV$2:$AV$301,MATCH(LARGE(Candidates!$BK$2:$BK$301,$A169),Candidates!$BK$2:$BK$301,0))&amp;"")</f>
        <v/>
      </c>
      <c r="H169" s="34">
        <f>IF($A169="","",INDEX(Candidates!$AW$2:$AW$301,MATCH(LARGE(Candidates!$BK$2:$BK$301,$A169),Candidates!$BK$2:$BK$301,0))&amp;"")</f>
        <v/>
      </c>
    </row>
    <row r="170">
      <c r="A170" s="32">
        <f>IF(ISNUMBER(LARGE(Candidates!$BK$2:$BK$301,166)),166,"")</f>
        <v/>
      </c>
      <c r="B170" s="33">
        <f>IF($A170="","",INDEX(Candidates!$AR$2:$AR$301,MATCH(LARGE(Candidates!$BK$2:$BK$301,$A170),Candidates!$BK$2:$BK$301,0))&amp;"")</f>
        <v/>
      </c>
      <c r="C170" s="34">
        <f>IF($A170="","",INDEX(Candidates!$AS$2:$AS$301,MATCH(LARGE(Candidates!$BK$2:$BK$301,$A170),Candidates!$BK$2:$BK$301,0))&amp;"")</f>
        <v/>
      </c>
      <c r="D170" s="34">
        <f>IF($A170="","",INDEX(Candidates!$AD$2:$AD$301,MATCH(LARGE(Candidates!$BK$2:$BK$301,$A170),Candidates!$BK$2:$BK$301,0))&amp;"")</f>
        <v/>
      </c>
      <c r="E170" s="32">
        <f>IF($A170="","",INDEX(Candidates!$BJ$2:$BJ$301,MATCH(LARGE(Candidates!$BK$2:$BK$301,$A170),Candidates!$BK$2:$BK$301,0)))</f>
        <v/>
      </c>
      <c r="F170" s="34">
        <f>IF($A170="","",INDEX(Candidates!$BL$2:$BL$301,MATCH(LARGE(Candidates!$BK$2:$BK$301,$A170),Candidates!$BK$2:$BK$301,0))&amp;"")</f>
        <v/>
      </c>
      <c r="G170" s="34">
        <f>IF($A170="","",INDEX(Candidates!$AV$2:$AV$301,MATCH(LARGE(Candidates!$BK$2:$BK$301,$A170),Candidates!$BK$2:$BK$301,0))&amp;"")</f>
        <v/>
      </c>
      <c r="H170" s="34">
        <f>IF($A170="","",INDEX(Candidates!$AW$2:$AW$301,MATCH(LARGE(Candidates!$BK$2:$BK$301,$A170),Candidates!$BK$2:$BK$301,0))&amp;"")</f>
        <v/>
      </c>
    </row>
    <row r="171">
      <c r="A171" s="32">
        <f>IF(ISNUMBER(LARGE(Candidates!$BK$2:$BK$301,167)),167,"")</f>
        <v/>
      </c>
      <c r="B171" s="33">
        <f>IF($A171="","",INDEX(Candidates!$AR$2:$AR$301,MATCH(LARGE(Candidates!$BK$2:$BK$301,$A171),Candidates!$BK$2:$BK$301,0))&amp;"")</f>
        <v/>
      </c>
      <c r="C171" s="34">
        <f>IF($A171="","",INDEX(Candidates!$AS$2:$AS$301,MATCH(LARGE(Candidates!$BK$2:$BK$301,$A171),Candidates!$BK$2:$BK$301,0))&amp;"")</f>
        <v/>
      </c>
      <c r="D171" s="34">
        <f>IF($A171="","",INDEX(Candidates!$AD$2:$AD$301,MATCH(LARGE(Candidates!$BK$2:$BK$301,$A171),Candidates!$BK$2:$BK$301,0))&amp;"")</f>
        <v/>
      </c>
      <c r="E171" s="32">
        <f>IF($A171="","",INDEX(Candidates!$BJ$2:$BJ$301,MATCH(LARGE(Candidates!$BK$2:$BK$301,$A171),Candidates!$BK$2:$BK$301,0)))</f>
        <v/>
      </c>
      <c r="F171" s="34">
        <f>IF($A171="","",INDEX(Candidates!$BL$2:$BL$301,MATCH(LARGE(Candidates!$BK$2:$BK$301,$A171),Candidates!$BK$2:$BK$301,0))&amp;"")</f>
        <v/>
      </c>
      <c r="G171" s="34">
        <f>IF($A171="","",INDEX(Candidates!$AV$2:$AV$301,MATCH(LARGE(Candidates!$BK$2:$BK$301,$A171),Candidates!$BK$2:$BK$301,0))&amp;"")</f>
        <v/>
      </c>
      <c r="H171" s="34">
        <f>IF($A171="","",INDEX(Candidates!$AW$2:$AW$301,MATCH(LARGE(Candidates!$BK$2:$BK$301,$A171),Candidates!$BK$2:$BK$301,0))&amp;"")</f>
        <v/>
      </c>
    </row>
    <row r="172">
      <c r="A172" s="32">
        <f>IF(ISNUMBER(LARGE(Candidates!$BK$2:$BK$301,168)),168,"")</f>
        <v/>
      </c>
      <c r="B172" s="33">
        <f>IF($A172="","",INDEX(Candidates!$AR$2:$AR$301,MATCH(LARGE(Candidates!$BK$2:$BK$301,$A172),Candidates!$BK$2:$BK$301,0))&amp;"")</f>
        <v/>
      </c>
      <c r="C172" s="34">
        <f>IF($A172="","",INDEX(Candidates!$AS$2:$AS$301,MATCH(LARGE(Candidates!$BK$2:$BK$301,$A172),Candidates!$BK$2:$BK$301,0))&amp;"")</f>
        <v/>
      </c>
      <c r="D172" s="34">
        <f>IF($A172="","",INDEX(Candidates!$AD$2:$AD$301,MATCH(LARGE(Candidates!$BK$2:$BK$301,$A172),Candidates!$BK$2:$BK$301,0))&amp;"")</f>
        <v/>
      </c>
      <c r="E172" s="32">
        <f>IF($A172="","",INDEX(Candidates!$BJ$2:$BJ$301,MATCH(LARGE(Candidates!$BK$2:$BK$301,$A172),Candidates!$BK$2:$BK$301,0)))</f>
        <v/>
      </c>
      <c r="F172" s="34">
        <f>IF($A172="","",INDEX(Candidates!$BL$2:$BL$301,MATCH(LARGE(Candidates!$BK$2:$BK$301,$A172),Candidates!$BK$2:$BK$301,0))&amp;"")</f>
        <v/>
      </c>
      <c r="G172" s="34">
        <f>IF($A172="","",INDEX(Candidates!$AV$2:$AV$301,MATCH(LARGE(Candidates!$BK$2:$BK$301,$A172),Candidates!$BK$2:$BK$301,0))&amp;"")</f>
        <v/>
      </c>
      <c r="H172" s="34">
        <f>IF($A172="","",INDEX(Candidates!$AW$2:$AW$301,MATCH(LARGE(Candidates!$BK$2:$BK$301,$A172),Candidates!$BK$2:$BK$301,0))&amp;"")</f>
        <v/>
      </c>
    </row>
    <row r="173">
      <c r="A173" s="32">
        <f>IF(ISNUMBER(LARGE(Candidates!$BK$2:$BK$301,169)),169,"")</f>
        <v/>
      </c>
      <c r="B173" s="33">
        <f>IF($A173="","",INDEX(Candidates!$AR$2:$AR$301,MATCH(LARGE(Candidates!$BK$2:$BK$301,$A173),Candidates!$BK$2:$BK$301,0))&amp;"")</f>
        <v/>
      </c>
      <c r="C173" s="34">
        <f>IF($A173="","",INDEX(Candidates!$AS$2:$AS$301,MATCH(LARGE(Candidates!$BK$2:$BK$301,$A173),Candidates!$BK$2:$BK$301,0))&amp;"")</f>
        <v/>
      </c>
      <c r="D173" s="34">
        <f>IF($A173="","",INDEX(Candidates!$AD$2:$AD$301,MATCH(LARGE(Candidates!$BK$2:$BK$301,$A173),Candidates!$BK$2:$BK$301,0))&amp;"")</f>
        <v/>
      </c>
      <c r="E173" s="32">
        <f>IF($A173="","",INDEX(Candidates!$BJ$2:$BJ$301,MATCH(LARGE(Candidates!$BK$2:$BK$301,$A173),Candidates!$BK$2:$BK$301,0)))</f>
        <v/>
      </c>
      <c r="F173" s="34">
        <f>IF($A173="","",INDEX(Candidates!$BL$2:$BL$301,MATCH(LARGE(Candidates!$BK$2:$BK$301,$A173),Candidates!$BK$2:$BK$301,0))&amp;"")</f>
        <v/>
      </c>
      <c r="G173" s="34">
        <f>IF($A173="","",INDEX(Candidates!$AV$2:$AV$301,MATCH(LARGE(Candidates!$BK$2:$BK$301,$A173),Candidates!$BK$2:$BK$301,0))&amp;"")</f>
        <v/>
      </c>
      <c r="H173" s="34">
        <f>IF($A173="","",INDEX(Candidates!$AW$2:$AW$301,MATCH(LARGE(Candidates!$BK$2:$BK$301,$A173),Candidates!$BK$2:$BK$301,0))&amp;"")</f>
        <v/>
      </c>
    </row>
    <row r="174">
      <c r="A174" s="32">
        <f>IF(ISNUMBER(LARGE(Candidates!$BK$2:$BK$301,170)),170,"")</f>
        <v/>
      </c>
      <c r="B174" s="33">
        <f>IF($A174="","",INDEX(Candidates!$AR$2:$AR$301,MATCH(LARGE(Candidates!$BK$2:$BK$301,$A174),Candidates!$BK$2:$BK$301,0))&amp;"")</f>
        <v/>
      </c>
      <c r="C174" s="34">
        <f>IF($A174="","",INDEX(Candidates!$AS$2:$AS$301,MATCH(LARGE(Candidates!$BK$2:$BK$301,$A174),Candidates!$BK$2:$BK$301,0))&amp;"")</f>
        <v/>
      </c>
      <c r="D174" s="34">
        <f>IF($A174="","",INDEX(Candidates!$AD$2:$AD$301,MATCH(LARGE(Candidates!$BK$2:$BK$301,$A174),Candidates!$BK$2:$BK$301,0))&amp;"")</f>
        <v/>
      </c>
      <c r="E174" s="32">
        <f>IF($A174="","",INDEX(Candidates!$BJ$2:$BJ$301,MATCH(LARGE(Candidates!$BK$2:$BK$301,$A174),Candidates!$BK$2:$BK$301,0)))</f>
        <v/>
      </c>
      <c r="F174" s="34">
        <f>IF($A174="","",INDEX(Candidates!$BL$2:$BL$301,MATCH(LARGE(Candidates!$BK$2:$BK$301,$A174),Candidates!$BK$2:$BK$301,0))&amp;"")</f>
        <v/>
      </c>
      <c r="G174" s="34">
        <f>IF($A174="","",INDEX(Candidates!$AV$2:$AV$301,MATCH(LARGE(Candidates!$BK$2:$BK$301,$A174),Candidates!$BK$2:$BK$301,0))&amp;"")</f>
        <v/>
      </c>
      <c r="H174" s="34">
        <f>IF($A174="","",INDEX(Candidates!$AW$2:$AW$301,MATCH(LARGE(Candidates!$BK$2:$BK$301,$A174),Candidates!$BK$2:$BK$301,0))&amp;"")</f>
        <v/>
      </c>
    </row>
    <row r="175">
      <c r="A175" s="32">
        <f>IF(ISNUMBER(LARGE(Candidates!$BK$2:$BK$301,171)),171,"")</f>
        <v/>
      </c>
      <c r="B175" s="33">
        <f>IF($A175="","",INDEX(Candidates!$AR$2:$AR$301,MATCH(LARGE(Candidates!$BK$2:$BK$301,$A175),Candidates!$BK$2:$BK$301,0))&amp;"")</f>
        <v/>
      </c>
      <c r="C175" s="34">
        <f>IF($A175="","",INDEX(Candidates!$AS$2:$AS$301,MATCH(LARGE(Candidates!$BK$2:$BK$301,$A175),Candidates!$BK$2:$BK$301,0))&amp;"")</f>
        <v/>
      </c>
      <c r="D175" s="34">
        <f>IF($A175="","",INDEX(Candidates!$AD$2:$AD$301,MATCH(LARGE(Candidates!$BK$2:$BK$301,$A175),Candidates!$BK$2:$BK$301,0))&amp;"")</f>
        <v/>
      </c>
      <c r="E175" s="32">
        <f>IF($A175="","",INDEX(Candidates!$BJ$2:$BJ$301,MATCH(LARGE(Candidates!$BK$2:$BK$301,$A175),Candidates!$BK$2:$BK$301,0)))</f>
        <v/>
      </c>
      <c r="F175" s="34">
        <f>IF($A175="","",INDEX(Candidates!$BL$2:$BL$301,MATCH(LARGE(Candidates!$BK$2:$BK$301,$A175),Candidates!$BK$2:$BK$301,0))&amp;"")</f>
        <v/>
      </c>
      <c r="G175" s="34">
        <f>IF($A175="","",INDEX(Candidates!$AV$2:$AV$301,MATCH(LARGE(Candidates!$BK$2:$BK$301,$A175),Candidates!$BK$2:$BK$301,0))&amp;"")</f>
        <v/>
      </c>
      <c r="H175" s="34">
        <f>IF($A175="","",INDEX(Candidates!$AW$2:$AW$301,MATCH(LARGE(Candidates!$BK$2:$BK$301,$A175),Candidates!$BK$2:$BK$301,0))&amp;"")</f>
        <v/>
      </c>
    </row>
    <row r="176">
      <c r="A176" s="32">
        <f>IF(ISNUMBER(LARGE(Candidates!$BK$2:$BK$301,172)),172,"")</f>
        <v/>
      </c>
      <c r="B176" s="33">
        <f>IF($A176="","",INDEX(Candidates!$AR$2:$AR$301,MATCH(LARGE(Candidates!$BK$2:$BK$301,$A176),Candidates!$BK$2:$BK$301,0))&amp;"")</f>
        <v/>
      </c>
      <c r="C176" s="34">
        <f>IF($A176="","",INDEX(Candidates!$AS$2:$AS$301,MATCH(LARGE(Candidates!$BK$2:$BK$301,$A176),Candidates!$BK$2:$BK$301,0))&amp;"")</f>
        <v/>
      </c>
      <c r="D176" s="34">
        <f>IF($A176="","",INDEX(Candidates!$AD$2:$AD$301,MATCH(LARGE(Candidates!$BK$2:$BK$301,$A176),Candidates!$BK$2:$BK$301,0))&amp;"")</f>
        <v/>
      </c>
      <c r="E176" s="32">
        <f>IF($A176="","",INDEX(Candidates!$BJ$2:$BJ$301,MATCH(LARGE(Candidates!$BK$2:$BK$301,$A176),Candidates!$BK$2:$BK$301,0)))</f>
        <v/>
      </c>
      <c r="F176" s="34">
        <f>IF($A176="","",INDEX(Candidates!$BL$2:$BL$301,MATCH(LARGE(Candidates!$BK$2:$BK$301,$A176),Candidates!$BK$2:$BK$301,0))&amp;"")</f>
        <v/>
      </c>
      <c r="G176" s="34">
        <f>IF($A176="","",INDEX(Candidates!$AV$2:$AV$301,MATCH(LARGE(Candidates!$BK$2:$BK$301,$A176),Candidates!$BK$2:$BK$301,0))&amp;"")</f>
        <v/>
      </c>
      <c r="H176" s="34">
        <f>IF($A176="","",INDEX(Candidates!$AW$2:$AW$301,MATCH(LARGE(Candidates!$BK$2:$BK$301,$A176),Candidates!$BK$2:$BK$301,0))&amp;"")</f>
        <v/>
      </c>
    </row>
    <row r="177">
      <c r="A177" s="32">
        <f>IF(ISNUMBER(LARGE(Candidates!$BK$2:$BK$301,173)),173,"")</f>
        <v/>
      </c>
      <c r="B177" s="33">
        <f>IF($A177="","",INDEX(Candidates!$AR$2:$AR$301,MATCH(LARGE(Candidates!$BK$2:$BK$301,$A177),Candidates!$BK$2:$BK$301,0))&amp;"")</f>
        <v/>
      </c>
      <c r="C177" s="34">
        <f>IF($A177="","",INDEX(Candidates!$AS$2:$AS$301,MATCH(LARGE(Candidates!$BK$2:$BK$301,$A177),Candidates!$BK$2:$BK$301,0))&amp;"")</f>
        <v/>
      </c>
      <c r="D177" s="34">
        <f>IF($A177="","",INDEX(Candidates!$AD$2:$AD$301,MATCH(LARGE(Candidates!$BK$2:$BK$301,$A177),Candidates!$BK$2:$BK$301,0))&amp;"")</f>
        <v/>
      </c>
      <c r="E177" s="32">
        <f>IF($A177="","",INDEX(Candidates!$BJ$2:$BJ$301,MATCH(LARGE(Candidates!$BK$2:$BK$301,$A177),Candidates!$BK$2:$BK$301,0)))</f>
        <v/>
      </c>
      <c r="F177" s="34">
        <f>IF($A177="","",INDEX(Candidates!$BL$2:$BL$301,MATCH(LARGE(Candidates!$BK$2:$BK$301,$A177),Candidates!$BK$2:$BK$301,0))&amp;"")</f>
        <v/>
      </c>
      <c r="G177" s="34">
        <f>IF($A177="","",INDEX(Candidates!$AV$2:$AV$301,MATCH(LARGE(Candidates!$BK$2:$BK$301,$A177),Candidates!$BK$2:$BK$301,0))&amp;"")</f>
        <v/>
      </c>
      <c r="H177" s="34">
        <f>IF($A177="","",INDEX(Candidates!$AW$2:$AW$301,MATCH(LARGE(Candidates!$BK$2:$BK$301,$A177),Candidates!$BK$2:$BK$301,0))&amp;"")</f>
        <v/>
      </c>
    </row>
    <row r="178">
      <c r="A178" s="32">
        <f>IF(ISNUMBER(LARGE(Candidates!$BK$2:$BK$301,174)),174,"")</f>
        <v/>
      </c>
      <c r="B178" s="33">
        <f>IF($A178="","",INDEX(Candidates!$AR$2:$AR$301,MATCH(LARGE(Candidates!$BK$2:$BK$301,$A178),Candidates!$BK$2:$BK$301,0))&amp;"")</f>
        <v/>
      </c>
      <c r="C178" s="34">
        <f>IF($A178="","",INDEX(Candidates!$AS$2:$AS$301,MATCH(LARGE(Candidates!$BK$2:$BK$301,$A178),Candidates!$BK$2:$BK$301,0))&amp;"")</f>
        <v/>
      </c>
      <c r="D178" s="34">
        <f>IF($A178="","",INDEX(Candidates!$AD$2:$AD$301,MATCH(LARGE(Candidates!$BK$2:$BK$301,$A178),Candidates!$BK$2:$BK$301,0))&amp;"")</f>
        <v/>
      </c>
      <c r="E178" s="32">
        <f>IF($A178="","",INDEX(Candidates!$BJ$2:$BJ$301,MATCH(LARGE(Candidates!$BK$2:$BK$301,$A178),Candidates!$BK$2:$BK$301,0)))</f>
        <v/>
      </c>
      <c r="F178" s="34">
        <f>IF($A178="","",INDEX(Candidates!$BL$2:$BL$301,MATCH(LARGE(Candidates!$BK$2:$BK$301,$A178),Candidates!$BK$2:$BK$301,0))&amp;"")</f>
        <v/>
      </c>
      <c r="G178" s="34">
        <f>IF($A178="","",INDEX(Candidates!$AV$2:$AV$301,MATCH(LARGE(Candidates!$BK$2:$BK$301,$A178),Candidates!$BK$2:$BK$301,0))&amp;"")</f>
        <v/>
      </c>
      <c r="H178" s="34">
        <f>IF($A178="","",INDEX(Candidates!$AW$2:$AW$301,MATCH(LARGE(Candidates!$BK$2:$BK$301,$A178),Candidates!$BK$2:$BK$301,0))&amp;"")</f>
        <v/>
      </c>
    </row>
    <row r="179">
      <c r="A179" s="32">
        <f>IF(ISNUMBER(LARGE(Candidates!$BK$2:$BK$301,175)),175,"")</f>
        <v/>
      </c>
      <c r="B179" s="33">
        <f>IF($A179="","",INDEX(Candidates!$AR$2:$AR$301,MATCH(LARGE(Candidates!$BK$2:$BK$301,$A179),Candidates!$BK$2:$BK$301,0))&amp;"")</f>
        <v/>
      </c>
      <c r="C179" s="34">
        <f>IF($A179="","",INDEX(Candidates!$AS$2:$AS$301,MATCH(LARGE(Candidates!$BK$2:$BK$301,$A179),Candidates!$BK$2:$BK$301,0))&amp;"")</f>
        <v/>
      </c>
      <c r="D179" s="34">
        <f>IF($A179="","",INDEX(Candidates!$AD$2:$AD$301,MATCH(LARGE(Candidates!$BK$2:$BK$301,$A179),Candidates!$BK$2:$BK$301,0))&amp;"")</f>
        <v/>
      </c>
      <c r="E179" s="32">
        <f>IF($A179="","",INDEX(Candidates!$BJ$2:$BJ$301,MATCH(LARGE(Candidates!$BK$2:$BK$301,$A179),Candidates!$BK$2:$BK$301,0)))</f>
        <v/>
      </c>
      <c r="F179" s="34">
        <f>IF($A179="","",INDEX(Candidates!$BL$2:$BL$301,MATCH(LARGE(Candidates!$BK$2:$BK$301,$A179),Candidates!$BK$2:$BK$301,0))&amp;"")</f>
        <v/>
      </c>
      <c r="G179" s="34">
        <f>IF($A179="","",INDEX(Candidates!$AV$2:$AV$301,MATCH(LARGE(Candidates!$BK$2:$BK$301,$A179),Candidates!$BK$2:$BK$301,0))&amp;"")</f>
        <v/>
      </c>
      <c r="H179" s="34">
        <f>IF($A179="","",INDEX(Candidates!$AW$2:$AW$301,MATCH(LARGE(Candidates!$BK$2:$BK$301,$A179),Candidates!$BK$2:$BK$301,0))&amp;"")</f>
        <v/>
      </c>
    </row>
    <row r="180">
      <c r="A180" s="32">
        <f>IF(ISNUMBER(LARGE(Candidates!$BK$2:$BK$301,176)),176,"")</f>
        <v/>
      </c>
      <c r="B180" s="33">
        <f>IF($A180="","",INDEX(Candidates!$AR$2:$AR$301,MATCH(LARGE(Candidates!$BK$2:$BK$301,$A180),Candidates!$BK$2:$BK$301,0))&amp;"")</f>
        <v/>
      </c>
      <c r="C180" s="34">
        <f>IF($A180="","",INDEX(Candidates!$AS$2:$AS$301,MATCH(LARGE(Candidates!$BK$2:$BK$301,$A180),Candidates!$BK$2:$BK$301,0))&amp;"")</f>
        <v/>
      </c>
      <c r="D180" s="34">
        <f>IF($A180="","",INDEX(Candidates!$AD$2:$AD$301,MATCH(LARGE(Candidates!$BK$2:$BK$301,$A180),Candidates!$BK$2:$BK$301,0))&amp;"")</f>
        <v/>
      </c>
      <c r="E180" s="32">
        <f>IF($A180="","",INDEX(Candidates!$BJ$2:$BJ$301,MATCH(LARGE(Candidates!$BK$2:$BK$301,$A180),Candidates!$BK$2:$BK$301,0)))</f>
        <v/>
      </c>
      <c r="F180" s="34">
        <f>IF($A180="","",INDEX(Candidates!$BL$2:$BL$301,MATCH(LARGE(Candidates!$BK$2:$BK$301,$A180),Candidates!$BK$2:$BK$301,0))&amp;"")</f>
        <v/>
      </c>
      <c r="G180" s="34">
        <f>IF($A180="","",INDEX(Candidates!$AV$2:$AV$301,MATCH(LARGE(Candidates!$BK$2:$BK$301,$A180),Candidates!$BK$2:$BK$301,0))&amp;"")</f>
        <v/>
      </c>
      <c r="H180" s="34">
        <f>IF($A180="","",INDEX(Candidates!$AW$2:$AW$301,MATCH(LARGE(Candidates!$BK$2:$BK$301,$A180),Candidates!$BK$2:$BK$301,0))&amp;"")</f>
        <v/>
      </c>
    </row>
    <row r="181">
      <c r="A181" s="32">
        <f>IF(ISNUMBER(LARGE(Candidates!$BK$2:$BK$301,177)),177,"")</f>
        <v/>
      </c>
      <c r="B181" s="33">
        <f>IF($A181="","",INDEX(Candidates!$AR$2:$AR$301,MATCH(LARGE(Candidates!$BK$2:$BK$301,$A181),Candidates!$BK$2:$BK$301,0))&amp;"")</f>
        <v/>
      </c>
      <c r="C181" s="34">
        <f>IF($A181="","",INDEX(Candidates!$AS$2:$AS$301,MATCH(LARGE(Candidates!$BK$2:$BK$301,$A181),Candidates!$BK$2:$BK$301,0))&amp;"")</f>
        <v/>
      </c>
      <c r="D181" s="34">
        <f>IF($A181="","",INDEX(Candidates!$AD$2:$AD$301,MATCH(LARGE(Candidates!$BK$2:$BK$301,$A181),Candidates!$BK$2:$BK$301,0))&amp;"")</f>
        <v/>
      </c>
      <c r="E181" s="32">
        <f>IF($A181="","",INDEX(Candidates!$BJ$2:$BJ$301,MATCH(LARGE(Candidates!$BK$2:$BK$301,$A181),Candidates!$BK$2:$BK$301,0)))</f>
        <v/>
      </c>
      <c r="F181" s="34">
        <f>IF($A181="","",INDEX(Candidates!$BL$2:$BL$301,MATCH(LARGE(Candidates!$BK$2:$BK$301,$A181),Candidates!$BK$2:$BK$301,0))&amp;"")</f>
        <v/>
      </c>
      <c r="G181" s="34">
        <f>IF($A181="","",INDEX(Candidates!$AV$2:$AV$301,MATCH(LARGE(Candidates!$BK$2:$BK$301,$A181),Candidates!$BK$2:$BK$301,0))&amp;"")</f>
        <v/>
      </c>
      <c r="H181" s="34">
        <f>IF($A181="","",INDEX(Candidates!$AW$2:$AW$301,MATCH(LARGE(Candidates!$BK$2:$BK$301,$A181),Candidates!$BK$2:$BK$301,0))&amp;"")</f>
        <v/>
      </c>
    </row>
    <row r="182">
      <c r="A182" s="32">
        <f>IF(ISNUMBER(LARGE(Candidates!$BK$2:$BK$301,178)),178,"")</f>
        <v/>
      </c>
      <c r="B182" s="33">
        <f>IF($A182="","",INDEX(Candidates!$AR$2:$AR$301,MATCH(LARGE(Candidates!$BK$2:$BK$301,$A182),Candidates!$BK$2:$BK$301,0))&amp;"")</f>
        <v/>
      </c>
      <c r="C182" s="34">
        <f>IF($A182="","",INDEX(Candidates!$AS$2:$AS$301,MATCH(LARGE(Candidates!$BK$2:$BK$301,$A182),Candidates!$BK$2:$BK$301,0))&amp;"")</f>
        <v/>
      </c>
      <c r="D182" s="34">
        <f>IF($A182="","",INDEX(Candidates!$AD$2:$AD$301,MATCH(LARGE(Candidates!$BK$2:$BK$301,$A182),Candidates!$BK$2:$BK$301,0))&amp;"")</f>
        <v/>
      </c>
      <c r="E182" s="32">
        <f>IF($A182="","",INDEX(Candidates!$BJ$2:$BJ$301,MATCH(LARGE(Candidates!$BK$2:$BK$301,$A182),Candidates!$BK$2:$BK$301,0)))</f>
        <v/>
      </c>
      <c r="F182" s="34">
        <f>IF($A182="","",INDEX(Candidates!$BL$2:$BL$301,MATCH(LARGE(Candidates!$BK$2:$BK$301,$A182),Candidates!$BK$2:$BK$301,0))&amp;"")</f>
        <v/>
      </c>
      <c r="G182" s="34">
        <f>IF($A182="","",INDEX(Candidates!$AV$2:$AV$301,MATCH(LARGE(Candidates!$BK$2:$BK$301,$A182),Candidates!$BK$2:$BK$301,0))&amp;"")</f>
        <v/>
      </c>
      <c r="H182" s="34">
        <f>IF($A182="","",INDEX(Candidates!$AW$2:$AW$301,MATCH(LARGE(Candidates!$BK$2:$BK$301,$A182),Candidates!$BK$2:$BK$301,0))&amp;"")</f>
        <v/>
      </c>
    </row>
    <row r="183">
      <c r="A183" s="32">
        <f>IF(ISNUMBER(LARGE(Candidates!$BK$2:$BK$301,179)),179,"")</f>
        <v/>
      </c>
      <c r="B183" s="33">
        <f>IF($A183="","",INDEX(Candidates!$AR$2:$AR$301,MATCH(LARGE(Candidates!$BK$2:$BK$301,$A183),Candidates!$BK$2:$BK$301,0))&amp;"")</f>
        <v/>
      </c>
      <c r="C183" s="34">
        <f>IF($A183="","",INDEX(Candidates!$AS$2:$AS$301,MATCH(LARGE(Candidates!$BK$2:$BK$301,$A183),Candidates!$BK$2:$BK$301,0))&amp;"")</f>
        <v/>
      </c>
      <c r="D183" s="34">
        <f>IF($A183="","",INDEX(Candidates!$AD$2:$AD$301,MATCH(LARGE(Candidates!$BK$2:$BK$301,$A183),Candidates!$BK$2:$BK$301,0))&amp;"")</f>
        <v/>
      </c>
      <c r="E183" s="32">
        <f>IF($A183="","",INDEX(Candidates!$BJ$2:$BJ$301,MATCH(LARGE(Candidates!$BK$2:$BK$301,$A183),Candidates!$BK$2:$BK$301,0)))</f>
        <v/>
      </c>
      <c r="F183" s="34">
        <f>IF($A183="","",INDEX(Candidates!$BL$2:$BL$301,MATCH(LARGE(Candidates!$BK$2:$BK$301,$A183),Candidates!$BK$2:$BK$301,0))&amp;"")</f>
        <v/>
      </c>
      <c r="G183" s="34">
        <f>IF($A183="","",INDEX(Candidates!$AV$2:$AV$301,MATCH(LARGE(Candidates!$BK$2:$BK$301,$A183),Candidates!$BK$2:$BK$301,0))&amp;"")</f>
        <v/>
      </c>
      <c r="H183" s="34">
        <f>IF($A183="","",INDEX(Candidates!$AW$2:$AW$301,MATCH(LARGE(Candidates!$BK$2:$BK$301,$A183),Candidates!$BK$2:$BK$301,0))&amp;"")</f>
        <v/>
      </c>
    </row>
    <row r="184">
      <c r="A184" s="32">
        <f>IF(ISNUMBER(LARGE(Candidates!$BK$2:$BK$301,180)),180,"")</f>
        <v/>
      </c>
      <c r="B184" s="33">
        <f>IF($A184="","",INDEX(Candidates!$AR$2:$AR$301,MATCH(LARGE(Candidates!$BK$2:$BK$301,$A184),Candidates!$BK$2:$BK$301,0))&amp;"")</f>
        <v/>
      </c>
      <c r="C184" s="34">
        <f>IF($A184="","",INDEX(Candidates!$AS$2:$AS$301,MATCH(LARGE(Candidates!$BK$2:$BK$301,$A184),Candidates!$BK$2:$BK$301,0))&amp;"")</f>
        <v/>
      </c>
      <c r="D184" s="34">
        <f>IF($A184="","",INDEX(Candidates!$AD$2:$AD$301,MATCH(LARGE(Candidates!$BK$2:$BK$301,$A184),Candidates!$BK$2:$BK$301,0))&amp;"")</f>
        <v/>
      </c>
      <c r="E184" s="32">
        <f>IF($A184="","",INDEX(Candidates!$BJ$2:$BJ$301,MATCH(LARGE(Candidates!$BK$2:$BK$301,$A184),Candidates!$BK$2:$BK$301,0)))</f>
        <v/>
      </c>
      <c r="F184" s="34">
        <f>IF($A184="","",INDEX(Candidates!$BL$2:$BL$301,MATCH(LARGE(Candidates!$BK$2:$BK$301,$A184),Candidates!$BK$2:$BK$301,0))&amp;"")</f>
        <v/>
      </c>
      <c r="G184" s="34">
        <f>IF($A184="","",INDEX(Candidates!$AV$2:$AV$301,MATCH(LARGE(Candidates!$BK$2:$BK$301,$A184),Candidates!$BK$2:$BK$301,0))&amp;"")</f>
        <v/>
      </c>
      <c r="H184" s="34">
        <f>IF($A184="","",INDEX(Candidates!$AW$2:$AW$301,MATCH(LARGE(Candidates!$BK$2:$BK$301,$A184),Candidates!$BK$2:$BK$301,0))&amp;"")</f>
        <v/>
      </c>
    </row>
    <row r="185">
      <c r="A185" s="32">
        <f>IF(ISNUMBER(LARGE(Candidates!$BK$2:$BK$301,181)),181,"")</f>
        <v/>
      </c>
      <c r="B185" s="33">
        <f>IF($A185="","",INDEX(Candidates!$AR$2:$AR$301,MATCH(LARGE(Candidates!$BK$2:$BK$301,$A185),Candidates!$BK$2:$BK$301,0))&amp;"")</f>
        <v/>
      </c>
      <c r="C185" s="34">
        <f>IF($A185="","",INDEX(Candidates!$AS$2:$AS$301,MATCH(LARGE(Candidates!$BK$2:$BK$301,$A185),Candidates!$BK$2:$BK$301,0))&amp;"")</f>
        <v/>
      </c>
      <c r="D185" s="34">
        <f>IF($A185="","",INDEX(Candidates!$AD$2:$AD$301,MATCH(LARGE(Candidates!$BK$2:$BK$301,$A185),Candidates!$BK$2:$BK$301,0))&amp;"")</f>
        <v/>
      </c>
      <c r="E185" s="32">
        <f>IF($A185="","",INDEX(Candidates!$BJ$2:$BJ$301,MATCH(LARGE(Candidates!$BK$2:$BK$301,$A185),Candidates!$BK$2:$BK$301,0)))</f>
        <v/>
      </c>
      <c r="F185" s="34">
        <f>IF($A185="","",INDEX(Candidates!$BL$2:$BL$301,MATCH(LARGE(Candidates!$BK$2:$BK$301,$A185),Candidates!$BK$2:$BK$301,0))&amp;"")</f>
        <v/>
      </c>
      <c r="G185" s="34">
        <f>IF($A185="","",INDEX(Candidates!$AV$2:$AV$301,MATCH(LARGE(Candidates!$BK$2:$BK$301,$A185),Candidates!$BK$2:$BK$301,0))&amp;"")</f>
        <v/>
      </c>
      <c r="H185" s="34">
        <f>IF($A185="","",INDEX(Candidates!$AW$2:$AW$301,MATCH(LARGE(Candidates!$BK$2:$BK$301,$A185),Candidates!$BK$2:$BK$301,0))&amp;"")</f>
        <v/>
      </c>
    </row>
    <row r="186">
      <c r="A186" s="32">
        <f>IF(ISNUMBER(LARGE(Candidates!$BK$2:$BK$301,182)),182,"")</f>
        <v/>
      </c>
      <c r="B186" s="33">
        <f>IF($A186="","",INDEX(Candidates!$AR$2:$AR$301,MATCH(LARGE(Candidates!$BK$2:$BK$301,$A186),Candidates!$BK$2:$BK$301,0))&amp;"")</f>
        <v/>
      </c>
      <c r="C186" s="34">
        <f>IF($A186="","",INDEX(Candidates!$AS$2:$AS$301,MATCH(LARGE(Candidates!$BK$2:$BK$301,$A186),Candidates!$BK$2:$BK$301,0))&amp;"")</f>
        <v/>
      </c>
      <c r="D186" s="34">
        <f>IF($A186="","",INDEX(Candidates!$AD$2:$AD$301,MATCH(LARGE(Candidates!$BK$2:$BK$301,$A186),Candidates!$BK$2:$BK$301,0))&amp;"")</f>
        <v/>
      </c>
      <c r="E186" s="32">
        <f>IF($A186="","",INDEX(Candidates!$BJ$2:$BJ$301,MATCH(LARGE(Candidates!$BK$2:$BK$301,$A186),Candidates!$BK$2:$BK$301,0)))</f>
        <v/>
      </c>
      <c r="F186" s="34">
        <f>IF($A186="","",INDEX(Candidates!$BL$2:$BL$301,MATCH(LARGE(Candidates!$BK$2:$BK$301,$A186),Candidates!$BK$2:$BK$301,0))&amp;"")</f>
        <v/>
      </c>
      <c r="G186" s="34">
        <f>IF($A186="","",INDEX(Candidates!$AV$2:$AV$301,MATCH(LARGE(Candidates!$BK$2:$BK$301,$A186),Candidates!$BK$2:$BK$301,0))&amp;"")</f>
        <v/>
      </c>
      <c r="H186" s="34">
        <f>IF($A186="","",INDEX(Candidates!$AW$2:$AW$301,MATCH(LARGE(Candidates!$BK$2:$BK$301,$A186),Candidates!$BK$2:$BK$301,0))&amp;"")</f>
        <v/>
      </c>
    </row>
    <row r="187">
      <c r="A187" s="32">
        <f>IF(ISNUMBER(LARGE(Candidates!$BK$2:$BK$301,183)),183,"")</f>
        <v/>
      </c>
      <c r="B187" s="33">
        <f>IF($A187="","",INDEX(Candidates!$AR$2:$AR$301,MATCH(LARGE(Candidates!$BK$2:$BK$301,$A187),Candidates!$BK$2:$BK$301,0))&amp;"")</f>
        <v/>
      </c>
      <c r="C187" s="34">
        <f>IF($A187="","",INDEX(Candidates!$AS$2:$AS$301,MATCH(LARGE(Candidates!$BK$2:$BK$301,$A187),Candidates!$BK$2:$BK$301,0))&amp;"")</f>
        <v/>
      </c>
      <c r="D187" s="34">
        <f>IF($A187="","",INDEX(Candidates!$AD$2:$AD$301,MATCH(LARGE(Candidates!$BK$2:$BK$301,$A187),Candidates!$BK$2:$BK$301,0))&amp;"")</f>
        <v/>
      </c>
      <c r="E187" s="32">
        <f>IF($A187="","",INDEX(Candidates!$BJ$2:$BJ$301,MATCH(LARGE(Candidates!$BK$2:$BK$301,$A187),Candidates!$BK$2:$BK$301,0)))</f>
        <v/>
      </c>
      <c r="F187" s="34">
        <f>IF($A187="","",INDEX(Candidates!$BL$2:$BL$301,MATCH(LARGE(Candidates!$BK$2:$BK$301,$A187),Candidates!$BK$2:$BK$301,0))&amp;"")</f>
        <v/>
      </c>
      <c r="G187" s="34">
        <f>IF($A187="","",INDEX(Candidates!$AV$2:$AV$301,MATCH(LARGE(Candidates!$BK$2:$BK$301,$A187),Candidates!$BK$2:$BK$301,0))&amp;"")</f>
        <v/>
      </c>
      <c r="H187" s="34">
        <f>IF($A187="","",INDEX(Candidates!$AW$2:$AW$301,MATCH(LARGE(Candidates!$BK$2:$BK$301,$A187),Candidates!$BK$2:$BK$301,0))&amp;"")</f>
        <v/>
      </c>
    </row>
    <row r="188">
      <c r="A188" s="32">
        <f>IF(ISNUMBER(LARGE(Candidates!$BK$2:$BK$301,184)),184,"")</f>
        <v/>
      </c>
      <c r="B188" s="33">
        <f>IF($A188="","",INDEX(Candidates!$AR$2:$AR$301,MATCH(LARGE(Candidates!$BK$2:$BK$301,$A188),Candidates!$BK$2:$BK$301,0))&amp;"")</f>
        <v/>
      </c>
      <c r="C188" s="34">
        <f>IF($A188="","",INDEX(Candidates!$AS$2:$AS$301,MATCH(LARGE(Candidates!$BK$2:$BK$301,$A188),Candidates!$BK$2:$BK$301,0))&amp;"")</f>
        <v/>
      </c>
      <c r="D188" s="34">
        <f>IF($A188="","",INDEX(Candidates!$AD$2:$AD$301,MATCH(LARGE(Candidates!$BK$2:$BK$301,$A188),Candidates!$BK$2:$BK$301,0))&amp;"")</f>
        <v/>
      </c>
      <c r="E188" s="32">
        <f>IF($A188="","",INDEX(Candidates!$BJ$2:$BJ$301,MATCH(LARGE(Candidates!$BK$2:$BK$301,$A188),Candidates!$BK$2:$BK$301,0)))</f>
        <v/>
      </c>
      <c r="F188" s="34">
        <f>IF($A188="","",INDEX(Candidates!$BL$2:$BL$301,MATCH(LARGE(Candidates!$BK$2:$BK$301,$A188),Candidates!$BK$2:$BK$301,0))&amp;"")</f>
        <v/>
      </c>
      <c r="G188" s="34">
        <f>IF($A188="","",INDEX(Candidates!$AV$2:$AV$301,MATCH(LARGE(Candidates!$BK$2:$BK$301,$A188),Candidates!$BK$2:$BK$301,0))&amp;"")</f>
        <v/>
      </c>
      <c r="H188" s="34">
        <f>IF($A188="","",INDEX(Candidates!$AW$2:$AW$301,MATCH(LARGE(Candidates!$BK$2:$BK$301,$A188),Candidates!$BK$2:$BK$301,0))&amp;"")</f>
        <v/>
      </c>
    </row>
    <row r="189">
      <c r="A189" s="32">
        <f>IF(ISNUMBER(LARGE(Candidates!$BK$2:$BK$301,185)),185,"")</f>
        <v/>
      </c>
      <c r="B189" s="33">
        <f>IF($A189="","",INDEX(Candidates!$AR$2:$AR$301,MATCH(LARGE(Candidates!$BK$2:$BK$301,$A189),Candidates!$BK$2:$BK$301,0))&amp;"")</f>
        <v/>
      </c>
      <c r="C189" s="34">
        <f>IF($A189="","",INDEX(Candidates!$AS$2:$AS$301,MATCH(LARGE(Candidates!$BK$2:$BK$301,$A189),Candidates!$BK$2:$BK$301,0))&amp;"")</f>
        <v/>
      </c>
      <c r="D189" s="34">
        <f>IF($A189="","",INDEX(Candidates!$AD$2:$AD$301,MATCH(LARGE(Candidates!$BK$2:$BK$301,$A189),Candidates!$BK$2:$BK$301,0))&amp;"")</f>
        <v/>
      </c>
      <c r="E189" s="32">
        <f>IF($A189="","",INDEX(Candidates!$BJ$2:$BJ$301,MATCH(LARGE(Candidates!$BK$2:$BK$301,$A189),Candidates!$BK$2:$BK$301,0)))</f>
        <v/>
      </c>
      <c r="F189" s="34">
        <f>IF($A189="","",INDEX(Candidates!$BL$2:$BL$301,MATCH(LARGE(Candidates!$BK$2:$BK$301,$A189),Candidates!$BK$2:$BK$301,0))&amp;"")</f>
        <v/>
      </c>
      <c r="G189" s="34">
        <f>IF($A189="","",INDEX(Candidates!$AV$2:$AV$301,MATCH(LARGE(Candidates!$BK$2:$BK$301,$A189),Candidates!$BK$2:$BK$301,0))&amp;"")</f>
        <v/>
      </c>
      <c r="H189" s="34">
        <f>IF($A189="","",INDEX(Candidates!$AW$2:$AW$301,MATCH(LARGE(Candidates!$BK$2:$BK$301,$A189),Candidates!$BK$2:$BK$301,0))&amp;"")</f>
        <v/>
      </c>
    </row>
    <row r="190">
      <c r="A190" s="32">
        <f>IF(ISNUMBER(LARGE(Candidates!$BK$2:$BK$301,186)),186,"")</f>
        <v/>
      </c>
      <c r="B190" s="33">
        <f>IF($A190="","",INDEX(Candidates!$AR$2:$AR$301,MATCH(LARGE(Candidates!$BK$2:$BK$301,$A190),Candidates!$BK$2:$BK$301,0))&amp;"")</f>
        <v/>
      </c>
      <c r="C190" s="34">
        <f>IF($A190="","",INDEX(Candidates!$AS$2:$AS$301,MATCH(LARGE(Candidates!$BK$2:$BK$301,$A190),Candidates!$BK$2:$BK$301,0))&amp;"")</f>
        <v/>
      </c>
      <c r="D190" s="34">
        <f>IF($A190="","",INDEX(Candidates!$AD$2:$AD$301,MATCH(LARGE(Candidates!$BK$2:$BK$301,$A190),Candidates!$BK$2:$BK$301,0))&amp;"")</f>
        <v/>
      </c>
      <c r="E190" s="32">
        <f>IF($A190="","",INDEX(Candidates!$BJ$2:$BJ$301,MATCH(LARGE(Candidates!$BK$2:$BK$301,$A190),Candidates!$BK$2:$BK$301,0)))</f>
        <v/>
      </c>
      <c r="F190" s="34">
        <f>IF($A190="","",INDEX(Candidates!$BL$2:$BL$301,MATCH(LARGE(Candidates!$BK$2:$BK$301,$A190),Candidates!$BK$2:$BK$301,0))&amp;"")</f>
        <v/>
      </c>
      <c r="G190" s="34">
        <f>IF($A190="","",INDEX(Candidates!$AV$2:$AV$301,MATCH(LARGE(Candidates!$BK$2:$BK$301,$A190),Candidates!$BK$2:$BK$301,0))&amp;"")</f>
        <v/>
      </c>
      <c r="H190" s="34">
        <f>IF($A190="","",INDEX(Candidates!$AW$2:$AW$301,MATCH(LARGE(Candidates!$BK$2:$BK$301,$A190),Candidates!$BK$2:$BK$301,0))&amp;"")</f>
        <v/>
      </c>
    </row>
    <row r="191">
      <c r="A191" s="32">
        <f>IF(ISNUMBER(LARGE(Candidates!$BK$2:$BK$301,187)),187,"")</f>
        <v/>
      </c>
      <c r="B191" s="33">
        <f>IF($A191="","",INDEX(Candidates!$AR$2:$AR$301,MATCH(LARGE(Candidates!$BK$2:$BK$301,$A191),Candidates!$BK$2:$BK$301,0))&amp;"")</f>
        <v/>
      </c>
      <c r="C191" s="34">
        <f>IF($A191="","",INDEX(Candidates!$AS$2:$AS$301,MATCH(LARGE(Candidates!$BK$2:$BK$301,$A191),Candidates!$BK$2:$BK$301,0))&amp;"")</f>
        <v/>
      </c>
      <c r="D191" s="34">
        <f>IF($A191="","",INDEX(Candidates!$AD$2:$AD$301,MATCH(LARGE(Candidates!$BK$2:$BK$301,$A191),Candidates!$BK$2:$BK$301,0))&amp;"")</f>
        <v/>
      </c>
      <c r="E191" s="32">
        <f>IF($A191="","",INDEX(Candidates!$BJ$2:$BJ$301,MATCH(LARGE(Candidates!$BK$2:$BK$301,$A191),Candidates!$BK$2:$BK$301,0)))</f>
        <v/>
      </c>
      <c r="F191" s="34">
        <f>IF($A191="","",INDEX(Candidates!$BL$2:$BL$301,MATCH(LARGE(Candidates!$BK$2:$BK$301,$A191),Candidates!$BK$2:$BK$301,0))&amp;"")</f>
        <v/>
      </c>
      <c r="G191" s="34">
        <f>IF($A191="","",INDEX(Candidates!$AV$2:$AV$301,MATCH(LARGE(Candidates!$BK$2:$BK$301,$A191),Candidates!$BK$2:$BK$301,0))&amp;"")</f>
        <v/>
      </c>
      <c r="H191" s="34">
        <f>IF($A191="","",INDEX(Candidates!$AW$2:$AW$301,MATCH(LARGE(Candidates!$BK$2:$BK$301,$A191),Candidates!$BK$2:$BK$301,0))&amp;"")</f>
        <v/>
      </c>
    </row>
    <row r="192">
      <c r="A192" s="32">
        <f>IF(ISNUMBER(LARGE(Candidates!$BK$2:$BK$301,188)),188,"")</f>
        <v/>
      </c>
      <c r="B192" s="33">
        <f>IF($A192="","",INDEX(Candidates!$AR$2:$AR$301,MATCH(LARGE(Candidates!$BK$2:$BK$301,$A192),Candidates!$BK$2:$BK$301,0))&amp;"")</f>
        <v/>
      </c>
      <c r="C192" s="34">
        <f>IF($A192="","",INDEX(Candidates!$AS$2:$AS$301,MATCH(LARGE(Candidates!$BK$2:$BK$301,$A192),Candidates!$BK$2:$BK$301,0))&amp;"")</f>
        <v/>
      </c>
      <c r="D192" s="34">
        <f>IF($A192="","",INDEX(Candidates!$AD$2:$AD$301,MATCH(LARGE(Candidates!$BK$2:$BK$301,$A192),Candidates!$BK$2:$BK$301,0))&amp;"")</f>
        <v/>
      </c>
      <c r="E192" s="32">
        <f>IF($A192="","",INDEX(Candidates!$BJ$2:$BJ$301,MATCH(LARGE(Candidates!$BK$2:$BK$301,$A192),Candidates!$BK$2:$BK$301,0)))</f>
        <v/>
      </c>
      <c r="F192" s="34">
        <f>IF($A192="","",INDEX(Candidates!$BL$2:$BL$301,MATCH(LARGE(Candidates!$BK$2:$BK$301,$A192),Candidates!$BK$2:$BK$301,0))&amp;"")</f>
        <v/>
      </c>
      <c r="G192" s="34">
        <f>IF($A192="","",INDEX(Candidates!$AV$2:$AV$301,MATCH(LARGE(Candidates!$BK$2:$BK$301,$A192),Candidates!$BK$2:$BK$301,0))&amp;"")</f>
        <v/>
      </c>
      <c r="H192" s="34">
        <f>IF($A192="","",INDEX(Candidates!$AW$2:$AW$301,MATCH(LARGE(Candidates!$BK$2:$BK$301,$A192),Candidates!$BK$2:$BK$301,0))&amp;"")</f>
        <v/>
      </c>
    </row>
    <row r="193">
      <c r="A193" s="32">
        <f>IF(ISNUMBER(LARGE(Candidates!$BK$2:$BK$301,189)),189,"")</f>
        <v/>
      </c>
      <c r="B193" s="33">
        <f>IF($A193="","",INDEX(Candidates!$AR$2:$AR$301,MATCH(LARGE(Candidates!$BK$2:$BK$301,$A193),Candidates!$BK$2:$BK$301,0))&amp;"")</f>
        <v/>
      </c>
      <c r="C193" s="34">
        <f>IF($A193="","",INDEX(Candidates!$AS$2:$AS$301,MATCH(LARGE(Candidates!$BK$2:$BK$301,$A193),Candidates!$BK$2:$BK$301,0))&amp;"")</f>
        <v/>
      </c>
      <c r="D193" s="34">
        <f>IF($A193="","",INDEX(Candidates!$AD$2:$AD$301,MATCH(LARGE(Candidates!$BK$2:$BK$301,$A193),Candidates!$BK$2:$BK$301,0))&amp;"")</f>
        <v/>
      </c>
      <c r="E193" s="32">
        <f>IF($A193="","",INDEX(Candidates!$BJ$2:$BJ$301,MATCH(LARGE(Candidates!$BK$2:$BK$301,$A193),Candidates!$BK$2:$BK$301,0)))</f>
        <v/>
      </c>
      <c r="F193" s="34">
        <f>IF($A193="","",INDEX(Candidates!$BL$2:$BL$301,MATCH(LARGE(Candidates!$BK$2:$BK$301,$A193),Candidates!$BK$2:$BK$301,0))&amp;"")</f>
        <v/>
      </c>
      <c r="G193" s="34">
        <f>IF($A193="","",INDEX(Candidates!$AV$2:$AV$301,MATCH(LARGE(Candidates!$BK$2:$BK$301,$A193),Candidates!$BK$2:$BK$301,0))&amp;"")</f>
        <v/>
      </c>
      <c r="H193" s="34">
        <f>IF($A193="","",INDEX(Candidates!$AW$2:$AW$301,MATCH(LARGE(Candidates!$BK$2:$BK$301,$A193),Candidates!$BK$2:$BK$301,0))&amp;"")</f>
        <v/>
      </c>
    </row>
    <row r="194">
      <c r="A194" s="32">
        <f>IF(ISNUMBER(LARGE(Candidates!$BK$2:$BK$301,190)),190,"")</f>
        <v/>
      </c>
      <c r="B194" s="33">
        <f>IF($A194="","",INDEX(Candidates!$AR$2:$AR$301,MATCH(LARGE(Candidates!$BK$2:$BK$301,$A194),Candidates!$BK$2:$BK$301,0))&amp;"")</f>
        <v/>
      </c>
      <c r="C194" s="34">
        <f>IF($A194="","",INDEX(Candidates!$AS$2:$AS$301,MATCH(LARGE(Candidates!$BK$2:$BK$301,$A194),Candidates!$BK$2:$BK$301,0))&amp;"")</f>
        <v/>
      </c>
      <c r="D194" s="34">
        <f>IF($A194="","",INDEX(Candidates!$AD$2:$AD$301,MATCH(LARGE(Candidates!$BK$2:$BK$301,$A194),Candidates!$BK$2:$BK$301,0))&amp;"")</f>
        <v/>
      </c>
      <c r="E194" s="32">
        <f>IF($A194="","",INDEX(Candidates!$BJ$2:$BJ$301,MATCH(LARGE(Candidates!$BK$2:$BK$301,$A194),Candidates!$BK$2:$BK$301,0)))</f>
        <v/>
      </c>
      <c r="F194" s="34">
        <f>IF($A194="","",INDEX(Candidates!$BL$2:$BL$301,MATCH(LARGE(Candidates!$BK$2:$BK$301,$A194),Candidates!$BK$2:$BK$301,0))&amp;"")</f>
        <v/>
      </c>
      <c r="G194" s="34">
        <f>IF($A194="","",INDEX(Candidates!$AV$2:$AV$301,MATCH(LARGE(Candidates!$BK$2:$BK$301,$A194),Candidates!$BK$2:$BK$301,0))&amp;"")</f>
        <v/>
      </c>
      <c r="H194" s="34">
        <f>IF($A194="","",INDEX(Candidates!$AW$2:$AW$301,MATCH(LARGE(Candidates!$BK$2:$BK$301,$A194),Candidates!$BK$2:$BK$301,0))&amp;"")</f>
        <v/>
      </c>
    </row>
    <row r="195">
      <c r="A195" s="32">
        <f>IF(ISNUMBER(LARGE(Candidates!$BK$2:$BK$301,191)),191,"")</f>
        <v/>
      </c>
      <c r="B195" s="33">
        <f>IF($A195="","",INDEX(Candidates!$AR$2:$AR$301,MATCH(LARGE(Candidates!$BK$2:$BK$301,$A195),Candidates!$BK$2:$BK$301,0))&amp;"")</f>
        <v/>
      </c>
      <c r="C195" s="34">
        <f>IF($A195="","",INDEX(Candidates!$AS$2:$AS$301,MATCH(LARGE(Candidates!$BK$2:$BK$301,$A195),Candidates!$BK$2:$BK$301,0))&amp;"")</f>
        <v/>
      </c>
      <c r="D195" s="34">
        <f>IF($A195="","",INDEX(Candidates!$AD$2:$AD$301,MATCH(LARGE(Candidates!$BK$2:$BK$301,$A195),Candidates!$BK$2:$BK$301,0))&amp;"")</f>
        <v/>
      </c>
      <c r="E195" s="32">
        <f>IF($A195="","",INDEX(Candidates!$BJ$2:$BJ$301,MATCH(LARGE(Candidates!$BK$2:$BK$301,$A195),Candidates!$BK$2:$BK$301,0)))</f>
        <v/>
      </c>
      <c r="F195" s="34">
        <f>IF($A195="","",INDEX(Candidates!$BL$2:$BL$301,MATCH(LARGE(Candidates!$BK$2:$BK$301,$A195),Candidates!$BK$2:$BK$301,0))&amp;"")</f>
        <v/>
      </c>
      <c r="G195" s="34">
        <f>IF($A195="","",INDEX(Candidates!$AV$2:$AV$301,MATCH(LARGE(Candidates!$BK$2:$BK$301,$A195),Candidates!$BK$2:$BK$301,0))&amp;"")</f>
        <v/>
      </c>
      <c r="H195" s="34">
        <f>IF($A195="","",INDEX(Candidates!$AW$2:$AW$301,MATCH(LARGE(Candidates!$BK$2:$BK$301,$A195),Candidates!$BK$2:$BK$301,0))&amp;"")</f>
        <v/>
      </c>
    </row>
    <row r="196">
      <c r="A196" s="32">
        <f>IF(ISNUMBER(LARGE(Candidates!$BK$2:$BK$301,192)),192,"")</f>
        <v/>
      </c>
      <c r="B196" s="33">
        <f>IF($A196="","",INDEX(Candidates!$AR$2:$AR$301,MATCH(LARGE(Candidates!$BK$2:$BK$301,$A196),Candidates!$BK$2:$BK$301,0))&amp;"")</f>
        <v/>
      </c>
      <c r="C196" s="34">
        <f>IF($A196="","",INDEX(Candidates!$AS$2:$AS$301,MATCH(LARGE(Candidates!$BK$2:$BK$301,$A196),Candidates!$BK$2:$BK$301,0))&amp;"")</f>
        <v/>
      </c>
      <c r="D196" s="34">
        <f>IF($A196="","",INDEX(Candidates!$AD$2:$AD$301,MATCH(LARGE(Candidates!$BK$2:$BK$301,$A196),Candidates!$BK$2:$BK$301,0))&amp;"")</f>
        <v/>
      </c>
      <c r="E196" s="32">
        <f>IF($A196="","",INDEX(Candidates!$BJ$2:$BJ$301,MATCH(LARGE(Candidates!$BK$2:$BK$301,$A196),Candidates!$BK$2:$BK$301,0)))</f>
        <v/>
      </c>
      <c r="F196" s="34">
        <f>IF($A196="","",INDEX(Candidates!$BL$2:$BL$301,MATCH(LARGE(Candidates!$BK$2:$BK$301,$A196),Candidates!$BK$2:$BK$301,0))&amp;"")</f>
        <v/>
      </c>
      <c r="G196" s="34">
        <f>IF($A196="","",INDEX(Candidates!$AV$2:$AV$301,MATCH(LARGE(Candidates!$BK$2:$BK$301,$A196),Candidates!$BK$2:$BK$301,0))&amp;"")</f>
        <v/>
      </c>
      <c r="H196" s="34">
        <f>IF($A196="","",INDEX(Candidates!$AW$2:$AW$301,MATCH(LARGE(Candidates!$BK$2:$BK$301,$A196),Candidates!$BK$2:$BK$301,0))&amp;"")</f>
        <v/>
      </c>
    </row>
    <row r="197">
      <c r="A197" s="32">
        <f>IF(ISNUMBER(LARGE(Candidates!$BK$2:$BK$301,193)),193,"")</f>
        <v/>
      </c>
      <c r="B197" s="33">
        <f>IF($A197="","",INDEX(Candidates!$AR$2:$AR$301,MATCH(LARGE(Candidates!$BK$2:$BK$301,$A197),Candidates!$BK$2:$BK$301,0))&amp;"")</f>
        <v/>
      </c>
      <c r="C197" s="34">
        <f>IF($A197="","",INDEX(Candidates!$AS$2:$AS$301,MATCH(LARGE(Candidates!$BK$2:$BK$301,$A197),Candidates!$BK$2:$BK$301,0))&amp;"")</f>
        <v/>
      </c>
      <c r="D197" s="34">
        <f>IF($A197="","",INDEX(Candidates!$AD$2:$AD$301,MATCH(LARGE(Candidates!$BK$2:$BK$301,$A197),Candidates!$BK$2:$BK$301,0))&amp;"")</f>
        <v/>
      </c>
      <c r="E197" s="32">
        <f>IF($A197="","",INDEX(Candidates!$BJ$2:$BJ$301,MATCH(LARGE(Candidates!$BK$2:$BK$301,$A197),Candidates!$BK$2:$BK$301,0)))</f>
        <v/>
      </c>
      <c r="F197" s="34">
        <f>IF($A197="","",INDEX(Candidates!$BL$2:$BL$301,MATCH(LARGE(Candidates!$BK$2:$BK$301,$A197),Candidates!$BK$2:$BK$301,0))&amp;"")</f>
        <v/>
      </c>
      <c r="G197" s="34">
        <f>IF($A197="","",INDEX(Candidates!$AV$2:$AV$301,MATCH(LARGE(Candidates!$BK$2:$BK$301,$A197),Candidates!$BK$2:$BK$301,0))&amp;"")</f>
        <v/>
      </c>
      <c r="H197" s="34">
        <f>IF($A197="","",INDEX(Candidates!$AW$2:$AW$301,MATCH(LARGE(Candidates!$BK$2:$BK$301,$A197),Candidates!$BK$2:$BK$301,0))&amp;"")</f>
        <v/>
      </c>
    </row>
    <row r="198">
      <c r="A198" s="32">
        <f>IF(ISNUMBER(LARGE(Candidates!$BK$2:$BK$301,194)),194,"")</f>
        <v/>
      </c>
      <c r="B198" s="33">
        <f>IF($A198="","",INDEX(Candidates!$AR$2:$AR$301,MATCH(LARGE(Candidates!$BK$2:$BK$301,$A198),Candidates!$BK$2:$BK$301,0))&amp;"")</f>
        <v/>
      </c>
      <c r="C198" s="34">
        <f>IF($A198="","",INDEX(Candidates!$AS$2:$AS$301,MATCH(LARGE(Candidates!$BK$2:$BK$301,$A198),Candidates!$BK$2:$BK$301,0))&amp;"")</f>
        <v/>
      </c>
      <c r="D198" s="34">
        <f>IF($A198="","",INDEX(Candidates!$AD$2:$AD$301,MATCH(LARGE(Candidates!$BK$2:$BK$301,$A198),Candidates!$BK$2:$BK$301,0))&amp;"")</f>
        <v/>
      </c>
      <c r="E198" s="32">
        <f>IF($A198="","",INDEX(Candidates!$BJ$2:$BJ$301,MATCH(LARGE(Candidates!$BK$2:$BK$301,$A198),Candidates!$BK$2:$BK$301,0)))</f>
        <v/>
      </c>
      <c r="F198" s="34">
        <f>IF($A198="","",INDEX(Candidates!$BL$2:$BL$301,MATCH(LARGE(Candidates!$BK$2:$BK$301,$A198),Candidates!$BK$2:$BK$301,0))&amp;"")</f>
        <v/>
      </c>
      <c r="G198" s="34">
        <f>IF($A198="","",INDEX(Candidates!$AV$2:$AV$301,MATCH(LARGE(Candidates!$BK$2:$BK$301,$A198),Candidates!$BK$2:$BK$301,0))&amp;"")</f>
        <v/>
      </c>
      <c r="H198" s="34">
        <f>IF($A198="","",INDEX(Candidates!$AW$2:$AW$301,MATCH(LARGE(Candidates!$BK$2:$BK$301,$A198),Candidates!$BK$2:$BK$301,0))&amp;"")</f>
        <v/>
      </c>
    </row>
    <row r="199">
      <c r="A199" s="32">
        <f>IF(ISNUMBER(LARGE(Candidates!$BK$2:$BK$301,195)),195,"")</f>
        <v/>
      </c>
      <c r="B199" s="33">
        <f>IF($A199="","",INDEX(Candidates!$AR$2:$AR$301,MATCH(LARGE(Candidates!$BK$2:$BK$301,$A199),Candidates!$BK$2:$BK$301,0))&amp;"")</f>
        <v/>
      </c>
      <c r="C199" s="34">
        <f>IF($A199="","",INDEX(Candidates!$AS$2:$AS$301,MATCH(LARGE(Candidates!$BK$2:$BK$301,$A199),Candidates!$BK$2:$BK$301,0))&amp;"")</f>
        <v/>
      </c>
      <c r="D199" s="34">
        <f>IF($A199="","",INDEX(Candidates!$AD$2:$AD$301,MATCH(LARGE(Candidates!$BK$2:$BK$301,$A199),Candidates!$BK$2:$BK$301,0))&amp;"")</f>
        <v/>
      </c>
      <c r="E199" s="32">
        <f>IF($A199="","",INDEX(Candidates!$BJ$2:$BJ$301,MATCH(LARGE(Candidates!$BK$2:$BK$301,$A199),Candidates!$BK$2:$BK$301,0)))</f>
        <v/>
      </c>
      <c r="F199" s="34">
        <f>IF($A199="","",INDEX(Candidates!$BL$2:$BL$301,MATCH(LARGE(Candidates!$BK$2:$BK$301,$A199),Candidates!$BK$2:$BK$301,0))&amp;"")</f>
        <v/>
      </c>
      <c r="G199" s="34">
        <f>IF($A199="","",INDEX(Candidates!$AV$2:$AV$301,MATCH(LARGE(Candidates!$BK$2:$BK$301,$A199),Candidates!$BK$2:$BK$301,0))&amp;"")</f>
        <v/>
      </c>
      <c r="H199" s="34">
        <f>IF($A199="","",INDEX(Candidates!$AW$2:$AW$301,MATCH(LARGE(Candidates!$BK$2:$BK$301,$A199),Candidates!$BK$2:$BK$301,0))&amp;"")</f>
        <v/>
      </c>
    </row>
    <row r="200">
      <c r="A200" s="32">
        <f>IF(ISNUMBER(LARGE(Candidates!$BK$2:$BK$301,196)),196,"")</f>
        <v/>
      </c>
      <c r="B200" s="33">
        <f>IF($A200="","",INDEX(Candidates!$AR$2:$AR$301,MATCH(LARGE(Candidates!$BK$2:$BK$301,$A200),Candidates!$BK$2:$BK$301,0))&amp;"")</f>
        <v/>
      </c>
      <c r="C200" s="34">
        <f>IF($A200="","",INDEX(Candidates!$AS$2:$AS$301,MATCH(LARGE(Candidates!$BK$2:$BK$301,$A200),Candidates!$BK$2:$BK$301,0))&amp;"")</f>
        <v/>
      </c>
      <c r="D200" s="34">
        <f>IF($A200="","",INDEX(Candidates!$AD$2:$AD$301,MATCH(LARGE(Candidates!$BK$2:$BK$301,$A200),Candidates!$BK$2:$BK$301,0))&amp;"")</f>
        <v/>
      </c>
      <c r="E200" s="32">
        <f>IF($A200="","",INDEX(Candidates!$BJ$2:$BJ$301,MATCH(LARGE(Candidates!$BK$2:$BK$301,$A200),Candidates!$BK$2:$BK$301,0)))</f>
        <v/>
      </c>
      <c r="F200" s="34">
        <f>IF($A200="","",INDEX(Candidates!$BL$2:$BL$301,MATCH(LARGE(Candidates!$BK$2:$BK$301,$A200),Candidates!$BK$2:$BK$301,0))&amp;"")</f>
        <v/>
      </c>
      <c r="G200" s="34">
        <f>IF($A200="","",INDEX(Candidates!$AV$2:$AV$301,MATCH(LARGE(Candidates!$BK$2:$BK$301,$A200),Candidates!$BK$2:$BK$301,0))&amp;"")</f>
        <v/>
      </c>
      <c r="H200" s="34">
        <f>IF($A200="","",INDEX(Candidates!$AW$2:$AW$301,MATCH(LARGE(Candidates!$BK$2:$BK$301,$A200),Candidates!$BK$2:$BK$301,0))&amp;"")</f>
        <v/>
      </c>
    </row>
    <row r="201">
      <c r="A201" s="32">
        <f>IF(ISNUMBER(LARGE(Candidates!$BK$2:$BK$301,197)),197,"")</f>
        <v/>
      </c>
      <c r="B201" s="33">
        <f>IF($A201="","",INDEX(Candidates!$AR$2:$AR$301,MATCH(LARGE(Candidates!$BK$2:$BK$301,$A201),Candidates!$BK$2:$BK$301,0))&amp;"")</f>
        <v/>
      </c>
      <c r="C201" s="34">
        <f>IF($A201="","",INDEX(Candidates!$AS$2:$AS$301,MATCH(LARGE(Candidates!$BK$2:$BK$301,$A201),Candidates!$BK$2:$BK$301,0))&amp;"")</f>
        <v/>
      </c>
      <c r="D201" s="34">
        <f>IF($A201="","",INDEX(Candidates!$AD$2:$AD$301,MATCH(LARGE(Candidates!$BK$2:$BK$301,$A201),Candidates!$BK$2:$BK$301,0))&amp;"")</f>
        <v/>
      </c>
      <c r="E201" s="32">
        <f>IF($A201="","",INDEX(Candidates!$BJ$2:$BJ$301,MATCH(LARGE(Candidates!$BK$2:$BK$301,$A201),Candidates!$BK$2:$BK$301,0)))</f>
        <v/>
      </c>
      <c r="F201" s="34">
        <f>IF($A201="","",INDEX(Candidates!$BL$2:$BL$301,MATCH(LARGE(Candidates!$BK$2:$BK$301,$A201),Candidates!$BK$2:$BK$301,0))&amp;"")</f>
        <v/>
      </c>
      <c r="G201" s="34">
        <f>IF($A201="","",INDEX(Candidates!$AV$2:$AV$301,MATCH(LARGE(Candidates!$BK$2:$BK$301,$A201),Candidates!$BK$2:$BK$301,0))&amp;"")</f>
        <v/>
      </c>
      <c r="H201" s="34">
        <f>IF($A201="","",INDEX(Candidates!$AW$2:$AW$301,MATCH(LARGE(Candidates!$BK$2:$BK$301,$A201),Candidates!$BK$2:$BK$301,0))&amp;"")</f>
        <v/>
      </c>
    </row>
    <row r="202">
      <c r="A202" s="32">
        <f>IF(ISNUMBER(LARGE(Candidates!$BK$2:$BK$301,198)),198,"")</f>
        <v/>
      </c>
      <c r="B202" s="33">
        <f>IF($A202="","",INDEX(Candidates!$AR$2:$AR$301,MATCH(LARGE(Candidates!$BK$2:$BK$301,$A202),Candidates!$BK$2:$BK$301,0))&amp;"")</f>
        <v/>
      </c>
      <c r="C202" s="34">
        <f>IF($A202="","",INDEX(Candidates!$AS$2:$AS$301,MATCH(LARGE(Candidates!$BK$2:$BK$301,$A202),Candidates!$BK$2:$BK$301,0))&amp;"")</f>
        <v/>
      </c>
      <c r="D202" s="34">
        <f>IF($A202="","",INDEX(Candidates!$AD$2:$AD$301,MATCH(LARGE(Candidates!$BK$2:$BK$301,$A202),Candidates!$BK$2:$BK$301,0))&amp;"")</f>
        <v/>
      </c>
      <c r="E202" s="32">
        <f>IF($A202="","",INDEX(Candidates!$BJ$2:$BJ$301,MATCH(LARGE(Candidates!$BK$2:$BK$301,$A202),Candidates!$BK$2:$BK$301,0)))</f>
        <v/>
      </c>
      <c r="F202" s="34">
        <f>IF($A202="","",INDEX(Candidates!$BL$2:$BL$301,MATCH(LARGE(Candidates!$BK$2:$BK$301,$A202),Candidates!$BK$2:$BK$301,0))&amp;"")</f>
        <v/>
      </c>
      <c r="G202" s="34">
        <f>IF($A202="","",INDEX(Candidates!$AV$2:$AV$301,MATCH(LARGE(Candidates!$BK$2:$BK$301,$A202),Candidates!$BK$2:$BK$301,0))&amp;"")</f>
        <v/>
      </c>
      <c r="H202" s="34">
        <f>IF($A202="","",INDEX(Candidates!$AW$2:$AW$301,MATCH(LARGE(Candidates!$BK$2:$BK$301,$A202),Candidates!$BK$2:$BK$301,0))&amp;"")</f>
        <v/>
      </c>
    </row>
    <row r="203">
      <c r="A203" s="32">
        <f>IF(ISNUMBER(LARGE(Candidates!$BK$2:$BK$301,199)),199,"")</f>
        <v/>
      </c>
      <c r="B203" s="33">
        <f>IF($A203="","",INDEX(Candidates!$AR$2:$AR$301,MATCH(LARGE(Candidates!$BK$2:$BK$301,$A203),Candidates!$BK$2:$BK$301,0))&amp;"")</f>
        <v/>
      </c>
      <c r="C203" s="34">
        <f>IF($A203="","",INDEX(Candidates!$AS$2:$AS$301,MATCH(LARGE(Candidates!$BK$2:$BK$301,$A203),Candidates!$BK$2:$BK$301,0))&amp;"")</f>
        <v/>
      </c>
      <c r="D203" s="34">
        <f>IF($A203="","",INDEX(Candidates!$AD$2:$AD$301,MATCH(LARGE(Candidates!$BK$2:$BK$301,$A203),Candidates!$BK$2:$BK$301,0))&amp;"")</f>
        <v/>
      </c>
      <c r="E203" s="32">
        <f>IF($A203="","",INDEX(Candidates!$BJ$2:$BJ$301,MATCH(LARGE(Candidates!$BK$2:$BK$301,$A203),Candidates!$BK$2:$BK$301,0)))</f>
        <v/>
      </c>
      <c r="F203" s="34">
        <f>IF($A203="","",INDEX(Candidates!$BL$2:$BL$301,MATCH(LARGE(Candidates!$BK$2:$BK$301,$A203),Candidates!$BK$2:$BK$301,0))&amp;"")</f>
        <v/>
      </c>
      <c r="G203" s="34">
        <f>IF($A203="","",INDEX(Candidates!$AV$2:$AV$301,MATCH(LARGE(Candidates!$BK$2:$BK$301,$A203),Candidates!$BK$2:$BK$301,0))&amp;"")</f>
        <v/>
      </c>
      <c r="H203" s="34">
        <f>IF($A203="","",INDEX(Candidates!$AW$2:$AW$301,MATCH(LARGE(Candidates!$BK$2:$BK$301,$A203),Candidates!$BK$2:$BK$301,0))&amp;"")</f>
        <v/>
      </c>
    </row>
    <row r="204">
      <c r="A204" s="32">
        <f>IF(ISNUMBER(LARGE(Candidates!$BK$2:$BK$301,200)),200,"")</f>
        <v/>
      </c>
      <c r="B204" s="33">
        <f>IF($A204="","",INDEX(Candidates!$AR$2:$AR$301,MATCH(LARGE(Candidates!$BK$2:$BK$301,$A204),Candidates!$BK$2:$BK$301,0))&amp;"")</f>
        <v/>
      </c>
      <c r="C204" s="34">
        <f>IF($A204="","",INDEX(Candidates!$AS$2:$AS$301,MATCH(LARGE(Candidates!$BK$2:$BK$301,$A204),Candidates!$BK$2:$BK$301,0))&amp;"")</f>
        <v/>
      </c>
      <c r="D204" s="34">
        <f>IF($A204="","",INDEX(Candidates!$AD$2:$AD$301,MATCH(LARGE(Candidates!$BK$2:$BK$301,$A204),Candidates!$BK$2:$BK$301,0))&amp;"")</f>
        <v/>
      </c>
      <c r="E204" s="32">
        <f>IF($A204="","",INDEX(Candidates!$BJ$2:$BJ$301,MATCH(LARGE(Candidates!$BK$2:$BK$301,$A204),Candidates!$BK$2:$BK$301,0)))</f>
        <v/>
      </c>
      <c r="F204" s="34">
        <f>IF($A204="","",INDEX(Candidates!$BL$2:$BL$301,MATCH(LARGE(Candidates!$BK$2:$BK$301,$A204),Candidates!$BK$2:$BK$301,0))&amp;"")</f>
        <v/>
      </c>
      <c r="G204" s="34">
        <f>IF($A204="","",INDEX(Candidates!$AV$2:$AV$301,MATCH(LARGE(Candidates!$BK$2:$BK$301,$A204),Candidates!$BK$2:$BK$301,0))&amp;"")</f>
        <v/>
      </c>
      <c r="H204" s="34">
        <f>IF($A204="","",INDEX(Candidates!$AW$2:$AW$301,MATCH(LARGE(Candidates!$BK$2:$BK$301,$A204),Candidates!$BK$2:$BK$301,0))&amp;"")</f>
        <v/>
      </c>
    </row>
    <row r="205">
      <c r="A205" s="32">
        <f>IF(ISNUMBER(LARGE(Candidates!$BK$2:$BK$301,201)),201,"")</f>
        <v/>
      </c>
      <c r="B205" s="33">
        <f>IF($A205="","",INDEX(Candidates!$AR$2:$AR$301,MATCH(LARGE(Candidates!$BK$2:$BK$301,$A205),Candidates!$BK$2:$BK$301,0))&amp;"")</f>
        <v/>
      </c>
      <c r="C205" s="34">
        <f>IF($A205="","",INDEX(Candidates!$AS$2:$AS$301,MATCH(LARGE(Candidates!$BK$2:$BK$301,$A205),Candidates!$BK$2:$BK$301,0))&amp;"")</f>
        <v/>
      </c>
      <c r="D205" s="34">
        <f>IF($A205="","",INDEX(Candidates!$AD$2:$AD$301,MATCH(LARGE(Candidates!$BK$2:$BK$301,$A205),Candidates!$BK$2:$BK$301,0))&amp;"")</f>
        <v/>
      </c>
      <c r="E205" s="32">
        <f>IF($A205="","",INDEX(Candidates!$BJ$2:$BJ$301,MATCH(LARGE(Candidates!$BK$2:$BK$301,$A205),Candidates!$BK$2:$BK$301,0)))</f>
        <v/>
      </c>
      <c r="F205" s="34">
        <f>IF($A205="","",INDEX(Candidates!$BL$2:$BL$301,MATCH(LARGE(Candidates!$BK$2:$BK$301,$A205),Candidates!$BK$2:$BK$301,0))&amp;"")</f>
        <v/>
      </c>
      <c r="G205" s="34">
        <f>IF($A205="","",INDEX(Candidates!$AV$2:$AV$301,MATCH(LARGE(Candidates!$BK$2:$BK$301,$A205),Candidates!$BK$2:$BK$301,0))&amp;"")</f>
        <v/>
      </c>
      <c r="H205" s="34">
        <f>IF($A205="","",INDEX(Candidates!$AW$2:$AW$301,MATCH(LARGE(Candidates!$BK$2:$BK$301,$A205),Candidates!$BK$2:$BK$301,0))&amp;"")</f>
        <v/>
      </c>
    </row>
    <row r="206">
      <c r="A206" s="32">
        <f>IF(ISNUMBER(LARGE(Candidates!$BK$2:$BK$301,202)),202,"")</f>
        <v/>
      </c>
      <c r="B206" s="33">
        <f>IF($A206="","",INDEX(Candidates!$AR$2:$AR$301,MATCH(LARGE(Candidates!$BK$2:$BK$301,$A206),Candidates!$BK$2:$BK$301,0))&amp;"")</f>
        <v/>
      </c>
      <c r="C206" s="34">
        <f>IF($A206="","",INDEX(Candidates!$AS$2:$AS$301,MATCH(LARGE(Candidates!$BK$2:$BK$301,$A206),Candidates!$BK$2:$BK$301,0))&amp;"")</f>
        <v/>
      </c>
      <c r="D206" s="34">
        <f>IF($A206="","",INDEX(Candidates!$AD$2:$AD$301,MATCH(LARGE(Candidates!$BK$2:$BK$301,$A206),Candidates!$BK$2:$BK$301,0))&amp;"")</f>
        <v/>
      </c>
      <c r="E206" s="32">
        <f>IF($A206="","",INDEX(Candidates!$BJ$2:$BJ$301,MATCH(LARGE(Candidates!$BK$2:$BK$301,$A206),Candidates!$BK$2:$BK$301,0)))</f>
        <v/>
      </c>
      <c r="F206" s="34">
        <f>IF($A206="","",INDEX(Candidates!$BL$2:$BL$301,MATCH(LARGE(Candidates!$BK$2:$BK$301,$A206),Candidates!$BK$2:$BK$301,0))&amp;"")</f>
        <v/>
      </c>
      <c r="G206" s="34">
        <f>IF($A206="","",INDEX(Candidates!$AV$2:$AV$301,MATCH(LARGE(Candidates!$BK$2:$BK$301,$A206),Candidates!$BK$2:$BK$301,0))&amp;"")</f>
        <v/>
      </c>
      <c r="H206" s="34">
        <f>IF($A206="","",INDEX(Candidates!$AW$2:$AW$301,MATCH(LARGE(Candidates!$BK$2:$BK$301,$A206),Candidates!$BK$2:$BK$301,0))&amp;"")</f>
        <v/>
      </c>
    </row>
    <row r="207">
      <c r="A207" s="32">
        <f>IF(ISNUMBER(LARGE(Candidates!$BK$2:$BK$301,203)),203,"")</f>
        <v/>
      </c>
      <c r="B207" s="33">
        <f>IF($A207="","",INDEX(Candidates!$AR$2:$AR$301,MATCH(LARGE(Candidates!$BK$2:$BK$301,$A207),Candidates!$BK$2:$BK$301,0))&amp;"")</f>
        <v/>
      </c>
      <c r="C207" s="34">
        <f>IF($A207="","",INDEX(Candidates!$AS$2:$AS$301,MATCH(LARGE(Candidates!$BK$2:$BK$301,$A207),Candidates!$BK$2:$BK$301,0))&amp;"")</f>
        <v/>
      </c>
      <c r="D207" s="34">
        <f>IF($A207="","",INDEX(Candidates!$AD$2:$AD$301,MATCH(LARGE(Candidates!$BK$2:$BK$301,$A207),Candidates!$BK$2:$BK$301,0))&amp;"")</f>
        <v/>
      </c>
      <c r="E207" s="32">
        <f>IF($A207="","",INDEX(Candidates!$BJ$2:$BJ$301,MATCH(LARGE(Candidates!$BK$2:$BK$301,$A207),Candidates!$BK$2:$BK$301,0)))</f>
        <v/>
      </c>
      <c r="F207" s="34">
        <f>IF($A207="","",INDEX(Candidates!$BL$2:$BL$301,MATCH(LARGE(Candidates!$BK$2:$BK$301,$A207),Candidates!$BK$2:$BK$301,0))&amp;"")</f>
        <v/>
      </c>
      <c r="G207" s="34">
        <f>IF($A207="","",INDEX(Candidates!$AV$2:$AV$301,MATCH(LARGE(Candidates!$BK$2:$BK$301,$A207),Candidates!$BK$2:$BK$301,0))&amp;"")</f>
        <v/>
      </c>
      <c r="H207" s="34">
        <f>IF($A207="","",INDEX(Candidates!$AW$2:$AW$301,MATCH(LARGE(Candidates!$BK$2:$BK$301,$A207),Candidates!$BK$2:$BK$301,0))&amp;"")</f>
        <v/>
      </c>
    </row>
    <row r="208">
      <c r="A208" s="32">
        <f>IF(ISNUMBER(LARGE(Candidates!$BK$2:$BK$301,204)),204,"")</f>
        <v/>
      </c>
      <c r="B208" s="33">
        <f>IF($A208="","",INDEX(Candidates!$AR$2:$AR$301,MATCH(LARGE(Candidates!$BK$2:$BK$301,$A208),Candidates!$BK$2:$BK$301,0))&amp;"")</f>
        <v/>
      </c>
      <c r="C208" s="34">
        <f>IF($A208="","",INDEX(Candidates!$AS$2:$AS$301,MATCH(LARGE(Candidates!$BK$2:$BK$301,$A208),Candidates!$BK$2:$BK$301,0))&amp;"")</f>
        <v/>
      </c>
      <c r="D208" s="34">
        <f>IF($A208="","",INDEX(Candidates!$AD$2:$AD$301,MATCH(LARGE(Candidates!$BK$2:$BK$301,$A208),Candidates!$BK$2:$BK$301,0))&amp;"")</f>
        <v/>
      </c>
      <c r="E208" s="32">
        <f>IF($A208="","",INDEX(Candidates!$BJ$2:$BJ$301,MATCH(LARGE(Candidates!$BK$2:$BK$301,$A208),Candidates!$BK$2:$BK$301,0)))</f>
        <v/>
      </c>
      <c r="F208" s="34">
        <f>IF($A208="","",INDEX(Candidates!$BL$2:$BL$301,MATCH(LARGE(Candidates!$BK$2:$BK$301,$A208),Candidates!$BK$2:$BK$301,0))&amp;"")</f>
        <v/>
      </c>
      <c r="G208" s="34">
        <f>IF($A208="","",INDEX(Candidates!$AV$2:$AV$301,MATCH(LARGE(Candidates!$BK$2:$BK$301,$A208),Candidates!$BK$2:$BK$301,0))&amp;"")</f>
        <v/>
      </c>
      <c r="H208" s="34">
        <f>IF($A208="","",INDEX(Candidates!$AW$2:$AW$301,MATCH(LARGE(Candidates!$BK$2:$BK$301,$A208),Candidates!$BK$2:$BK$301,0))&amp;"")</f>
        <v/>
      </c>
    </row>
    <row r="209">
      <c r="A209" s="32">
        <f>IF(ISNUMBER(LARGE(Candidates!$BK$2:$BK$301,205)),205,"")</f>
        <v/>
      </c>
      <c r="B209" s="33">
        <f>IF($A209="","",INDEX(Candidates!$AR$2:$AR$301,MATCH(LARGE(Candidates!$BK$2:$BK$301,$A209),Candidates!$BK$2:$BK$301,0))&amp;"")</f>
        <v/>
      </c>
      <c r="C209" s="34">
        <f>IF($A209="","",INDEX(Candidates!$AS$2:$AS$301,MATCH(LARGE(Candidates!$BK$2:$BK$301,$A209),Candidates!$BK$2:$BK$301,0))&amp;"")</f>
        <v/>
      </c>
      <c r="D209" s="34">
        <f>IF($A209="","",INDEX(Candidates!$AD$2:$AD$301,MATCH(LARGE(Candidates!$BK$2:$BK$301,$A209),Candidates!$BK$2:$BK$301,0))&amp;"")</f>
        <v/>
      </c>
      <c r="E209" s="32">
        <f>IF($A209="","",INDEX(Candidates!$BJ$2:$BJ$301,MATCH(LARGE(Candidates!$BK$2:$BK$301,$A209),Candidates!$BK$2:$BK$301,0)))</f>
        <v/>
      </c>
      <c r="F209" s="34">
        <f>IF($A209="","",INDEX(Candidates!$BL$2:$BL$301,MATCH(LARGE(Candidates!$BK$2:$BK$301,$A209),Candidates!$BK$2:$BK$301,0))&amp;"")</f>
        <v/>
      </c>
      <c r="G209" s="34">
        <f>IF($A209="","",INDEX(Candidates!$AV$2:$AV$301,MATCH(LARGE(Candidates!$BK$2:$BK$301,$A209),Candidates!$BK$2:$BK$301,0))&amp;"")</f>
        <v/>
      </c>
      <c r="H209" s="34">
        <f>IF($A209="","",INDEX(Candidates!$AW$2:$AW$301,MATCH(LARGE(Candidates!$BK$2:$BK$301,$A209),Candidates!$BK$2:$BK$301,0))&amp;"")</f>
        <v/>
      </c>
    </row>
    <row r="210">
      <c r="A210" s="32">
        <f>IF(ISNUMBER(LARGE(Candidates!$BK$2:$BK$301,206)),206,"")</f>
        <v/>
      </c>
      <c r="B210" s="33">
        <f>IF($A210="","",INDEX(Candidates!$AR$2:$AR$301,MATCH(LARGE(Candidates!$BK$2:$BK$301,$A210),Candidates!$BK$2:$BK$301,0))&amp;"")</f>
        <v/>
      </c>
      <c r="C210" s="34">
        <f>IF($A210="","",INDEX(Candidates!$AS$2:$AS$301,MATCH(LARGE(Candidates!$BK$2:$BK$301,$A210),Candidates!$BK$2:$BK$301,0))&amp;"")</f>
        <v/>
      </c>
      <c r="D210" s="34">
        <f>IF($A210="","",INDEX(Candidates!$AD$2:$AD$301,MATCH(LARGE(Candidates!$BK$2:$BK$301,$A210),Candidates!$BK$2:$BK$301,0))&amp;"")</f>
        <v/>
      </c>
      <c r="E210" s="32">
        <f>IF($A210="","",INDEX(Candidates!$BJ$2:$BJ$301,MATCH(LARGE(Candidates!$BK$2:$BK$301,$A210),Candidates!$BK$2:$BK$301,0)))</f>
        <v/>
      </c>
      <c r="F210" s="34">
        <f>IF($A210="","",INDEX(Candidates!$BL$2:$BL$301,MATCH(LARGE(Candidates!$BK$2:$BK$301,$A210),Candidates!$BK$2:$BK$301,0))&amp;"")</f>
        <v/>
      </c>
      <c r="G210" s="34">
        <f>IF($A210="","",INDEX(Candidates!$AV$2:$AV$301,MATCH(LARGE(Candidates!$BK$2:$BK$301,$A210),Candidates!$BK$2:$BK$301,0))&amp;"")</f>
        <v/>
      </c>
      <c r="H210" s="34">
        <f>IF($A210="","",INDEX(Candidates!$AW$2:$AW$301,MATCH(LARGE(Candidates!$BK$2:$BK$301,$A210),Candidates!$BK$2:$BK$301,0))&amp;"")</f>
        <v/>
      </c>
    </row>
    <row r="211">
      <c r="A211" s="32">
        <f>IF(ISNUMBER(LARGE(Candidates!$BK$2:$BK$301,207)),207,"")</f>
        <v/>
      </c>
      <c r="B211" s="33">
        <f>IF($A211="","",INDEX(Candidates!$AR$2:$AR$301,MATCH(LARGE(Candidates!$BK$2:$BK$301,$A211),Candidates!$BK$2:$BK$301,0))&amp;"")</f>
        <v/>
      </c>
      <c r="C211" s="34">
        <f>IF($A211="","",INDEX(Candidates!$AS$2:$AS$301,MATCH(LARGE(Candidates!$BK$2:$BK$301,$A211),Candidates!$BK$2:$BK$301,0))&amp;"")</f>
        <v/>
      </c>
      <c r="D211" s="34">
        <f>IF($A211="","",INDEX(Candidates!$AD$2:$AD$301,MATCH(LARGE(Candidates!$BK$2:$BK$301,$A211),Candidates!$BK$2:$BK$301,0))&amp;"")</f>
        <v/>
      </c>
      <c r="E211" s="32">
        <f>IF($A211="","",INDEX(Candidates!$BJ$2:$BJ$301,MATCH(LARGE(Candidates!$BK$2:$BK$301,$A211),Candidates!$BK$2:$BK$301,0)))</f>
        <v/>
      </c>
      <c r="F211" s="34">
        <f>IF($A211="","",INDEX(Candidates!$BL$2:$BL$301,MATCH(LARGE(Candidates!$BK$2:$BK$301,$A211),Candidates!$BK$2:$BK$301,0))&amp;"")</f>
        <v/>
      </c>
      <c r="G211" s="34">
        <f>IF($A211="","",INDEX(Candidates!$AV$2:$AV$301,MATCH(LARGE(Candidates!$BK$2:$BK$301,$A211),Candidates!$BK$2:$BK$301,0))&amp;"")</f>
        <v/>
      </c>
      <c r="H211" s="34">
        <f>IF($A211="","",INDEX(Candidates!$AW$2:$AW$301,MATCH(LARGE(Candidates!$BK$2:$BK$301,$A211),Candidates!$BK$2:$BK$301,0))&amp;"")</f>
        <v/>
      </c>
    </row>
    <row r="212">
      <c r="A212" s="32">
        <f>IF(ISNUMBER(LARGE(Candidates!$BK$2:$BK$301,208)),208,"")</f>
        <v/>
      </c>
      <c r="B212" s="33">
        <f>IF($A212="","",INDEX(Candidates!$AR$2:$AR$301,MATCH(LARGE(Candidates!$BK$2:$BK$301,$A212),Candidates!$BK$2:$BK$301,0))&amp;"")</f>
        <v/>
      </c>
      <c r="C212" s="34">
        <f>IF($A212="","",INDEX(Candidates!$AS$2:$AS$301,MATCH(LARGE(Candidates!$BK$2:$BK$301,$A212),Candidates!$BK$2:$BK$301,0))&amp;"")</f>
        <v/>
      </c>
      <c r="D212" s="34">
        <f>IF($A212="","",INDEX(Candidates!$AD$2:$AD$301,MATCH(LARGE(Candidates!$BK$2:$BK$301,$A212),Candidates!$BK$2:$BK$301,0))&amp;"")</f>
        <v/>
      </c>
      <c r="E212" s="32">
        <f>IF($A212="","",INDEX(Candidates!$BJ$2:$BJ$301,MATCH(LARGE(Candidates!$BK$2:$BK$301,$A212),Candidates!$BK$2:$BK$301,0)))</f>
        <v/>
      </c>
      <c r="F212" s="34">
        <f>IF($A212="","",INDEX(Candidates!$BL$2:$BL$301,MATCH(LARGE(Candidates!$BK$2:$BK$301,$A212),Candidates!$BK$2:$BK$301,0))&amp;"")</f>
        <v/>
      </c>
      <c r="G212" s="34">
        <f>IF($A212="","",INDEX(Candidates!$AV$2:$AV$301,MATCH(LARGE(Candidates!$BK$2:$BK$301,$A212),Candidates!$BK$2:$BK$301,0))&amp;"")</f>
        <v/>
      </c>
      <c r="H212" s="34">
        <f>IF($A212="","",INDEX(Candidates!$AW$2:$AW$301,MATCH(LARGE(Candidates!$BK$2:$BK$301,$A212),Candidates!$BK$2:$BK$301,0))&amp;"")</f>
        <v/>
      </c>
    </row>
    <row r="213">
      <c r="A213" s="32">
        <f>IF(ISNUMBER(LARGE(Candidates!$BK$2:$BK$301,209)),209,"")</f>
        <v/>
      </c>
      <c r="B213" s="33">
        <f>IF($A213="","",INDEX(Candidates!$AR$2:$AR$301,MATCH(LARGE(Candidates!$BK$2:$BK$301,$A213),Candidates!$BK$2:$BK$301,0))&amp;"")</f>
        <v/>
      </c>
      <c r="C213" s="34">
        <f>IF($A213="","",INDEX(Candidates!$AS$2:$AS$301,MATCH(LARGE(Candidates!$BK$2:$BK$301,$A213),Candidates!$BK$2:$BK$301,0))&amp;"")</f>
        <v/>
      </c>
      <c r="D213" s="34">
        <f>IF($A213="","",INDEX(Candidates!$AD$2:$AD$301,MATCH(LARGE(Candidates!$BK$2:$BK$301,$A213),Candidates!$BK$2:$BK$301,0))&amp;"")</f>
        <v/>
      </c>
      <c r="E213" s="32">
        <f>IF($A213="","",INDEX(Candidates!$BJ$2:$BJ$301,MATCH(LARGE(Candidates!$BK$2:$BK$301,$A213),Candidates!$BK$2:$BK$301,0)))</f>
        <v/>
      </c>
      <c r="F213" s="34">
        <f>IF($A213="","",INDEX(Candidates!$BL$2:$BL$301,MATCH(LARGE(Candidates!$BK$2:$BK$301,$A213),Candidates!$BK$2:$BK$301,0))&amp;"")</f>
        <v/>
      </c>
      <c r="G213" s="34">
        <f>IF($A213="","",INDEX(Candidates!$AV$2:$AV$301,MATCH(LARGE(Candidates!$BK$2:$BK$301,$A213),Candidates!$BK$2:$BK$301,0))&amp;"")</f>
        <v/>
      </c>
      <c r="H213" s="34">
        <f>IF($A213="","",INDEX(Candidates!$AW$2:$AW$301,MATCH(LARGE(Candidates!$BK$2:$BK$301,$A213),Candidates!$BK$2:$BK$301,0))&amp;"")</f>
        <v/>
      </c>
    </row>
    <row r="214">
      <c r="A214" s="32">
        <f>IF(ISNUMBER(LARGE(Candidates!$BK$2:$BK$301,210)),210,"")</f>
        <v/>
      </c>
      <c r="B214" s="33">
        <f>IF($A214="","",INDEX(Candidates!$AR$2:$AR$301,MATCH(LARGE(Candidates!$BK$2:$BK$301,$A214),Candidates!$BK$2:$BK$301,0))&amp;"")</f>
        <v/>
      </c>
      <c r="C214" s="34">
        <f>IF($A214="","",INDEX(Candidates!$AS$2:$AS$301,MATCH(LARGE(Candidates!$BK$2:$BK$301,$A214),Candidates!$BK$2:$BK$301,0))&amp;"")</f>
        <v/>
      </c>
      <c r="D214" s="34">
        <f>IF($A214="","",INDEX(Candidates!$AD$2:$AD$301,MATCH(LARGE(Candidates!$BK$2:$BK$301,$A214),Candidates!$BK$2:$BK$301,0))&amp;"")</f>
        <v/>
      </c>
      <c r="E214" s="32">
        <f>IF($A214="","",INDEX(Candidates!$BJ$2:$BJ$301,MATCH(LARGE(Candidates!$BK$2:$BK$301,$A214),Candidates!$BK$2:$BK$301,0)))</f>
        <v/>
      </c>
      <c r="F214" s="34">
        <f>IF($A214="","",INDEX(Candidates!$BL$2:$BL$301,MATCH(LARGE(Candidates!$BK$2:$BK$301,$A214),Candidates!$BK$2:$BK$301,0))&amp;"")</f>
        <v/>
      </c>
      <c r="G214" s="34">
        <f>IF($A214="","",INDEX(Candidates!$AV$2:$AV$301,MATCH(LARGE(Candidates!$BK$2:$BK$301,$A214),Candidates!$BK$2:$BK$301,0))&amp;"")</f>
        <v/>
      </c>
      <c r="H214" s="34">
        <f>IF($A214="","",INDEX(Candidates!$AW$2:$AW$301,MATCH(LARGE(Candidates!$BK$2:$BK$301,$A214),Candidates!$BK$2:$BK$301,0))&amp;"")</f>
        <v/>
      </c>
    </row>
    <row r="215">
      <c r="A215" s="32">
        <f>IF(ISNUMBER(LARGE(Candidates!$BK$2:$BK$301,211)),211,"")</f>
        <v/>
      </c>
      <c r="B215" s="33">
        <f>IF($A215="","",INDEX(Candidates!$AR$2:$AR$301,MATCH(LARGE(Candidates!$BK$2:$BK$301,$A215),Candidates!$BK$2:$BK$301,0))&amp;"")</f>
        <v/>
      </c>
      <c r="C215" s="34">
        <f>IF($A215="","",INDEX(Candidates!$AS$2:$AS$301,MATCH(LARGE(Candidates!$BK$2:$BK$301,$A215),Candidates!$BK$2:$BK$301,0))&amp;"")</f>
        <v/>
      </c>
      <c r="D215" s="34">
        <f>IF($A215="","",INDEX(Candidates!$AD$2:$AD$301,MATCH(LARGE(Candidates!$BK$2:$BK$301,$A215),Candidates!$BK$2:$BK$301,0))&amp;"")</f>
        <v/>
      </c>
      <c r="E215" s="32">
        <f>IF($A215="","",INDEX(Candidates!$BJ$2:$BJ$301,MATCH(LARGE(Candidates!$BK$2:$BK$301,$A215),Candidates!$BK$2:$BK$301,0)))</f>
        <v/>
      </c>
      <c r="F215" s="34">
        <f>IF($A215="","",INDEX(Candidates!$BL$2:$BL$301,MATCH(LARGE(Candidates!$BK$2:$BK$301,$A215),Candidates!$BK$2:$BK$301,0))&amp;"")</f>
        <v/>
      </c>
      <c r="G215" s="34">
        <f>IF($A215="","",INDEX(Candidates!$AV$2:$AV$301,MATCH(LARGE(Candidates!$BK$2:$BK$301,$A215),Candidates!$BK$2:$BK$301,0))&amp;"")</f>
        <v/>
      </c>
      <c r="H215" s="34">
        <f>IF($A215="","",INDEX(Candidates!$AW$2:$AW$301,MATCH(LARGE(Candidates!$BK$2:$BK$301,$A215),Candidates!$BK$2:$BK$301,0))&amp;"")</f>
        <v/>
      </c>
    </row>
    <row r="216">
      <c r="A216" s="32">
        <f>IF(ISNUMBER(LARGE(Candidates!$BK$2:$BK$301,212)),212,"")</f>
        <v/>
      </c>
      <c r="B216" s="33">
        <f>IF($A216="","",INDEX(Candidates!$AR$2:$AR$301,MATCH(LARGE(Candidates!$BK$2:$BK$301,$A216),Candidates!$BK$2:$BK$301,0))&amp;"")</f>
        <v/>
      </c>
      <c r="C216" s="34">
        <f>IF($A216="","",INDEX(Candidates!$AS$2:$AS$301,MATCH(LARGE(Candidates!$BK$2:$BK$301,$A216),Candidates!$BK$2:$BK$301,0))&amp;"")</f>
        <v/>
      </c>
      <c r="D216" s="34">
        <f>IF($A216="","",INDEX(Candidates!$AD$2:$AD$301,MATCH(LARGE(Candidates!$BK$2:$BK$301,$A216),Candidates!$BK$2:$BK$301,0))&amp;"")</f>
        <v/>
      </c>
      <c r="E216" s="32">
        <f>IF($A216="","",INDEX(Candidates!$BJ$2:$BJ$301,MATCH(LARGE(Candidates!$BK$2:$BK$301,$A216),Candidates!$BK$2:$BK$301,0)))</f>
        <v/>
      </c>
      <c r="F216" s="34">
        <f>IF($A216="","",INDEX(Candidates!$BL$2:$BL$301,MATCH(LARGE(Candidates!$BK$2:$BK$301,$A216),Candidates!$BK$2:$BK$301,0))&amp;"")</f>
        <v/>
      </c>
      <c r="G216" s="34">
        <f>IF($A216="","",INDEX(Candidates!$AV$2:$AV$301,MATCH(LARGE(Candidates!$BK$2:$BK$301,$A216),Candidates!$BK$2:$BK$301,0))&amp;"")</f>
        <v/>
      </c>
      <c r="H216" s="34">
        <f>IF($A216="","",INDEX(Candidates!$AW$2:$AW$301,MATCH(LARGE(Candidates!$BK$2:$BK$301,$A216),Candidates!$BK$2:$BK$301,0))&amp;"")</f>
        <v/>
      </c>
    </row>
    <row r="217">
      <c r="A217" s="32">
        <f>IF(ISNUMBER(LARGE(Candidates!$BK$2:$BK$301,213)),213,"")</f>
        <v/>
      </c>
      <c r="B217" s="33">
        <f>IF($A217="","",INDEX(Candidates!$AR$2:$AR$301,MATCH(LARGE(Candidates!$BK$2:$BK$301,$A217),Candidates!$BK$2:$BK$301,0))&amp;"")</f>
        <v/>
      </c>
      <c r="C217" s="34">
        <f>IF($A217="","",INDEX(Candidates!$AS$2:$AS$301,MATCH(LARGE(Candidates!$BK$2:$BK$301,$A217),Candidates!$BK$2:$BK$301,0))&amp;"")</f>
        <v/>
      </c>
      <c r="D217" s="34">
        <f>IF($A217="","",INDEX(Candidates!$AD$2:$AD$301,MATCH(LARGE(Candidates!$BK$2:$BK$301,$A217),Candidates!$BK$2:$BK$301,0))&amp;"")</f>
        <v/>
      </c>
      <c r="E217" s="32">
        <f>IF($A217="","",INDEX(Candidates!$BJ$2:$BJ$301,MATCH(LARGE(Candidates!$BK$2:$BK$301,$A217),Candidates!$BK$2:$BK$301,0)))</f>
        <v/>
      </c>
      <c r="F217" s="34">
        <f>IF($A217="","",INDEX(Candidates!$BL$2:$BL$301,MATCH(LARGE(Candidates!$BK$2:$BK$301,$A217),Candidates!$BK$2:$BK$301,0))&amp;"")</f>
        <v/>
      </c>
      <c r="G217" s="34">
        <f>IF($A217="","",INDEX(Candidates!$AV$2:$AV$301,MATCH(LARGE(Candidates!$BK$2:$BK$301,$A217),Candidates!$BK$2:$BK$301,0))&amp;"")</f>
        <v/>
      </c>
      <c r="H217" s="34">
        <f>IF($A217="","",INDEX(Candidates!$AW$2:$AW$301,MATCH(LARGE(Candidates!$BK$2:$BK$301,$A217),Candidates!$BK$2:$BK$301,0))&amp;"")</f>
        <v/>
      </c>
    </row>
    <row r="218">
      <c r="A218" s="32">
        <f>IF(ISNUMBER(LARGE(Candidates!$BK$2:$BK$301,214)),214,"")</f>
        <v/>
      </c>
      <c r="B218" s="33">
        <f>IF($A218="","",INDEX(Candidates!$AR$2:$AR$301,MATCH(LARGE(Candidates!$BK$2:$BK$301,$A218),Candidates!$BK$2:$BK$301,0))&amp;"")</f>
        <v/>
      </c>
      <c r="C218" s="34">
        <f>IF($A218="","",INDEX(Candidates!$AS$2:$AS$301,MATCH(LARGE(Candidates!$BK$2:$BK$301,$A218),Candidates!$BK$2:$BK$301,0))&amp;"")</f>
        <v/>
      </c>
      <c r="D218" s="34">
        <f>IF($A218="","",INDEX(Candidates!$AD$2:$AD$301,MATCH(LARGE(Candidates!$BK$2:$BK$301,$A218),Candidates!$BK$2:$BK$301,0))&amp;"")</f>
        <v/>
      </c>
      <c r="E218" s="32">
        <f>IF($A218="","",INDEX(Candidates!$BJ$2:$BJ$301,MATCH(LARGE(Candidates!$BK$2:$BK$301,$A218),Candidates!$BK$2:$BK$301,0)))</f>
        <v/>
      </c>
      <c r="F218" s="34">
        <f>IF($A218="","",INDEX(Candidates!$BL$2:$BL$301,MATCH(LARGE(Candidates!$BK$2:$BK$301,$A218),Candidates!$BK$2:$BK$301,0))&amp;"")</f>
        <v/>
      </c>
      <c r="G218" s="34">
        <f>IF($A218="","",INDEX(Candidates!$AV$2:$AV$301,MATCH(LARGE(Candidates!$BK$2:$BK$301,$A218),Candidates!$BK$2:$BK$301,0))&amp;"")</f>
        <v/>
      </c>
      <c r="H218" s="34">
        <f>IF($A218="","",INDEX(Candidates!$AW$2:$AW$301,MATCH(LARGE(Candidates!$BK$2:$BK$301,$A218),Candidates!$BK$2:$BK$301,0))&amp;"")</f>
        <v/>
      </c>
    </row>
    <row r="219">
      <c r="A219" s="32">
        <f>IF(ISNUMBER(LARGE(Candidates!$BK$2:$BK$301,215)),215,"")</f>
        <v/>
      </c>
      <c r="B219" s="33">
        <f>IF($A219="","",INDEX(Candidates!$AR$2:$AR$301,MATCH(LARGE(Candidates!$BK$2:$BK$301,$A219),Candidates!$BK$2:$BK$301,0))&amp;"")</f>
        <v/>
      </c>
      <c r="C219" s="34">
        <f>IF($A219="","",INDEX(Candidates!$AS$2:$AS$301,MATCH(LARGE(Candidates!$BK$2:$BK$301,$A219),Candidates!$BK$2:$BK$301,0))&amp;"")</f>
        <v/>
      </c>
      <c r="D219" s="34">
        <f>IF($A219="","",INDEX(Candidates!$AD$2:$AD$301,MATCH(LARGE(Candidates!$BK$2:$BK$301,$A219),Candidates!$BK$2:$BK$301,0))&amp;"")</f>
        <v/>
      </c>
      <c r="E219" s="32">
        <f>IF($A219="","",INDEX(Candidates!$BJ$2:$BJ$301,MATCH(LARGE(Candidates!$BK$2:$BK$301,$A219),Candidates!$BK$2:$BK$301,0)))</f>
        <v/>
      </c>
      <c r="F219" s="34">
        <f>IF($A219="","",INDEX(Candidates!$BL$2:$BL$301,MATCH(LARGE(Candidates!$BK$2:$BK$301,$A219),Candidates!$BK$2:$BK$301,0))&amp;"")</f>
        <v/>
      </c>
      <c r="G219" s="34">
        <f>IF($A219="","",INDEX(Candidates!$AV$2:$AV$301,MATCH(LARGE(Candidates!$BK$2:$BK$301,$A219),Candidates!$BK$2:$BK$301,0))&amp;"")</f>
        <v/>
      </c>
      <c r="H219" s="34">
        <f>IF($A219="","",INDEX(Candidates!$AW$2:$AW$301,MATCH(LARGE(Candidates!$BK$2:$BK$301,$A219),Candidates!$BK$2:$BK$301,0))&amp;"")</f>
        <v/>
      </c>
    </row>
    <row r="220">
      <c r="A220" s="32">
        <f>IF(ISNUMBER(LARGE(Candidates!$BK$2:$BK$301,216)),216,"")</f>
        <v/>
      </c>
      <c r="B220" s="33">
        <f>IF($A220="","",INDEX(Candidates!$AR$2:$AR$301,MATCH(LARGE(Candidates!$BK$2:$BK$301,$A220),Candidates!$BK$2:$BK$301,0))&amp;"")</f>
        <v/>
      </c>
      <c r="C220" s="34">
        <f>IF($A220="","",INDEX(Candidates!$AS$2:$AS$301,MATCH(LARGE(Candidates!$BK$2:$BK$301,$A220),Candidates!$BK$2:$BK$301,0))&amp;"")</f>
        <v/>
      </c>
      <c r="D220" s="34">
        <f>IF($A220="","",INDEX(Candidates!$AD$2:$AD$301,MATCH(LARGE(Candidates!$BK$2:$BK$301,$A220),Candidates!$BK$2:$BK$301,0))&amp;"")</f>
        <v/>
      </c>
      <c r="E220" s="32">
        <f>IF($A220="","",INDEX(Candidates!$BJ$2:$BJ$301,MATCH(LARGE(Candidates!$BK$2:$BK$301,$A220),Candidates!$BK$2:$BK$301,0)))</f>
        <v/>
      </c>
      <c r="F220" s="34">
        <f>IF($A220="","",INDEX(Candidates!$BL$2:$BL$301,MATCH(LARGE(Candidates!$BK$2:$BK$301,$A220),Candidates!$BK$2:$BK$301,0))&amp;"")</f>
        <v/>
      </c>
      <c r="G220" s="34">
        <f>IF($A220="","",INDEX(Candidates!$AV$2:$AV$301,MATCH(LARGE(Candidates!$BK$2:$BK$301,$A220),Candidates!$BK$2:$BK$301,0))&amp;"")</f>
        <v/>
      </c>
      <c r="H220" s="34">
        <f>IF($A220="","",INDEX(Candidates!$AW$2:$AW$301,MATCH(LARGE(Candidates!$BK$2:$BK$301,$A220),Candidates!$BK$2:$BK$301,0))&amp;"")</f>
        <v/>
      </c>
    </row>
    <row r="221">
      <c r="A221" s="32">
        <f>IF(ISNUMBER(LARGE(Candidates!$BK$2:$BK$301,217)),217,"")</f>
        <v/>
      </c>
      <c r="B221" s="33">
        <f>IF($A221="","",INDEX(Candidates!$AR$2:$AR$301,MATCH(LARGE(Candidates!$BK$2:$BK$301,$A221),Candidates!$BK$2:$BK$301,0))&amp;"")</f>
        <v/>
      </c>
      <c r="C221" s="34">
        <f>IF($A221="","",INDEX(Candidates!$AS$2:$AS$301,MATCH(LARGE(Candidates!$BK$2:$BK$301,$A221),Candidates!$BK$2:$BK$301,0))&amp;"")</f>
        <v/>
      </c>
      <c r="D221" s="34">
        <f>IF($A221="","",INDEX(Candidates!$AD$2:$AD$301,MATCH(LARGE(Candidates!$BK$2:$BK$301,$A221),Candidates!$BK$2:$BK$301,0))&amp;"")</f>
        <v/>
      </c>
      <c r="E221" s="32">
        <f>IF($A221="","",INDEX(Candidates!$BJ$2:$BJ$301,MATCH(LARGE(Candidates!$BK$2:$BK$301,$A221),Candidates!$BK$2:$BK$301,0)))</f>
        <v/>
      </c>
      <c r="F221" s="34">
        <f>IF($A221="","",INDEX(Candidates!$BL$2:$BL$301,MATCH(LARGE(Candidates!$BK$2:$BK$301,$A221),Candidates!$BK$2:$BK$301,0))&amp;"")</f>
        <v/>
      </c>
      <c r="G221" s="34">
        <f>IF($A221="","",INDEX(Candidates!$AV$2:$AV$301,MATCH(LARGE(Candidates!$BK$2:$BK$301,$A221),Candidates!$BK$2:$BK$301,0))&amp;"")</f>
        <v/>
      </c>
      <c r="H221" s="34">
        <f>IF($A221="","",INDEX(Candidates!$AW$2:$AW$301,MATCH(LARGE(Candidates!$BK$2:$BK$301,$A221),Candidates!$BK$2:$BK$301,0))&amp;"")</f>
        <v/>
      </c>
    </row>
    <row r="222">
      <c r="A222" s="32">
        <f>IF(ISNUMBER(LARGE(Candidates!$BK$2:$BK$301,218)),218,"")</f>
        <v/>
      </c>
      <c r="B222" s="33">
        <f>IF($A222="","",INDEX(Candidates!$AR$2:$AR$301,MATCH(LARGE(Candidates!$BK$2:$BK$301,$A222),Candidates!$BK$2:$BK$301,0))&amp;"")</f>
        <v/>
      </c>
      <c r="C222" s="34">
        <f>IF($A222="","",INDEX(Candidates!$AS$2:$AS$301,MATCH(LARGE(Candidates!$BK$2:$BK$301,$A222),Candidates!$BK$2:$BK$301,0))&amp;"")</f>
        <v/>
      </c>
      <c r="D222" s="34">
        <f>IF($A222="","",INDEX(Candidates!$AD$2:$AD$301,MATCH(LARGE(Candidates!$BK$2:$BK$301,$A222),Candidates!$BK$2:$BK$301,0))&amp;"")</f>
        <v/>
      </c>
      <c r="E222" s="32">
        <f>IF($A222="","",INDEX(Candidates!$BJ$2:$BJ$301,MATCH(LARGE(Candidates!$BK$2:$BK$301,$A222),Candidates!$BK$2:$BK$301,0)))</f>
        <v/>
      </c>
      <c r="F222" s="34">
        <f>IF($A222="","",INDEX(Candidates!$BL$2:$BL$301,MATCH(LARGE(Candidates!$BK$2:$BK$301,$A222),Candidates!$BK$2:$BK$301,0))&amp;"")</f>
        <v/>
      </c>
      <c r="G222" s="34">
        <f>IF($A222="","",INDEX(Candidates!$AV$2:$AV$301,MATCH(LARGE(Candidates!$BK$2:$BK$301,$A222),Candidates!$BK$2:$BK$301,0))&amp;"")</f>
        <v/>
      </c>
      <c r="H222" s="34">
        <f>IF($A222="","",INDEX(Candidates!$AW$2:$AW$301,MATCH(LARGE(Candidates!$BK$2:$BK$301,$A222),Candidates!$BK$2:$BK$301,0))&amp;"")</f>
        <v/>
      </c>
    </row>
    <row r="223">
      <c r="A223" s="32">
        <f>IF(ISNUMBER(LARGE(Candidates!$BK$2:$BK$301,219)),219,"")</f>
        <v/>
      </c>
      <c r="B223" s="33">
        <f>IF($A223="","",INDEX(Candidates!$AR$2:$AR$301,MATCH(LARGE(Candidates!$BK$2:$BK$301,$A223),Candidates!$BK$2:$BK$301,0))&amp;"")</f>
        <v/>
      </c>
      <c r="C223" s="34">
        <f>IF($A223="","",INDEX(Candidates!$AS$2:$AS$301,MATCH(LARGE(Candidates!$BK$2:$BK$301,$A223),Candidates!$BK$2:$BK$301,0))&amp;"")</f>
        <v/>
      </c>
      <c r="D223" s="34">
        <f>IF($A223="","",INDEX(Candidates!$AD$2:$AD$301,MATCH(LARGE(Candidates!$BK$2:$BK$301,$A223),Candidates!$BK$2:$BK$301,0))&amp;"")</f>
        <v/>
      </c>
      <c r="E223" s="32">
        <f>IF($A223="","",INDEX(Candidates!$BJ$2:$BJ$301,MATCH(LARGE(Candidates!$BK$2:$BK$301,$A223),Candidates!$BK$2:$BK$301,0)))</f>
        <v/>
      </c>
      <c r="F223" s="34">
        <f>IF($A223="","",INDEX(Candidates!$BL$2:$BL$301,MATCH(LARGE(Candidates!$BK$2:$BK$301,$A223),Candidates!$BK$2:$BK$301,0))&amp;"")</f>
        <v/>
      </c>
      <c r="G223" s="34">
        <f>IF($A223="","",INDEX(Candidates!$AV$2:$AV$301,MATCH(LARGE(Candidates!$BK$2:$BK$301,$A223),Candidates!$BK$2:$BK$301,0))&amp;"")</f>
        <v/>
      </c>
      <c r="H223" s="34">
        <f>IF($A223="","",INDEX(Candidates!$AW$2:$AW$301,MATCH(LARGE(Candidates!$BK$2:$BK$301,$A223),Candidates!$BK$2:$BK$301,0))&amp;"")</f>
        <v/>
      </c>
    </row>
    <row r="224">
      <c r="A224" s="32">
        <f>IF(ISNUMBER(LARGE(Candidates!$BK$2:$BK$301,220)),220,"")</f>
        <v/>
      </c>
      <c r="B224" s="33">
        <f>IF($A224="","",INDEX(Candidates!$AR$2:$AR$301,MATCH(LARGE(Candidates!$BK$2:$BK$301,$A224),Candidates!$BK$2:$BK$301,0))&amp;"")</f>
        <v/>
      </c>
      <c r="C224" s="34">
        <f>IF($A224="","",INDEX(Candidates!$AS$2:$AS$301,MATCH(LARGE(Candidates!$BK$2:$BK$301,$A224),Candidates!$BK$2:$BK$301,0))&amp;"")</f>
        <v/>
      </c>
      <c r="D224" s="34">
        <f>IF($A224="","",INDEX(Candidates!$AD$2:$AD$301,MATCH(LARGE(Candidates!$BK$2:$BK$301,$A224),Candidates!$BK$2:$BK$301,0))&amp;"")</f>
        <v/>
      </c>
      <c r="E224" s="32">
        <f>IF($A224="","",INDEX(Candidates!$BJ$2:$BJ$301,MATCH(LARGE(Candidates!$BK$2:$BK$301,$A224),Candidates!$BK$2:$BK$301,0)))</f>
        <v/>
      </c>
      <c r="F224" s="34">
        <f>IF($A224="","",INDEX(Candidates!$BL$2:$BL$301,MATCH(LARGE(Candidates!$BK$2:$BK$301,$A224),Candidates!$BK$2:$BK$301,0))&amp;"")</f>
        <v/>
      </c>
      <c r="G224" s="34">
        <f>IF($A224="","",INDEX(Candidates!$AV$2:$AV$301,MATCH(LARGE(Candidates!$BK$2:$BK$301,$A224),Candidates!$BK$2:$BK$301,0))&amp;"")</f>
        <v/>
      </c>
      <c r="H224" s="34">
        <f>IF($A224="","",INDEX(Candidates!$AW$2:$AW$301,MATCH(LARGE(Candidates!$BK$2:$BK$301,$A224),Candidates!$BK$2:$BK$301,0))&amp;"")</f>
        <v/>
      </c>
    </row>
    <row r="225">
      <c r="A225" s="32">
        <f>IF(ISNUMBER(LARGE(Candidates!$BK$2:$BK$301,221)),221,"")</f>
        <v/>
      </c>
      <c r="B225" s="33">
        <f>IF($A225="","",INDEX(Candidates!$AR$2:$AR$301,MATCH(LARGE(Candidates!$BK$2:$BK$301,$A225),Candidates!$BK$2:$BK$301,0))&amp;"")</f>
        <v/>
      </c>
      <c r="C225" s="34">
        <f>IF($A225="","",INDEX(Candidates!$AS$2:$AS$301,MATCH(LARGE(Candidates!$BK$2:$BK$301,$A225),Candidates!$BK$2:$BK$301,0))&amp;"")</f>
        <v/>
      </c>
      <c r="D225" s="34">
        <f>IF($A225="","",INDEX(Candidates!$AD$2:$AD$301,MATCH(LARGE(Candidates!$BK$2:$BK$301,$A225),Candidates!$BK$2:$BK$301,0))&amp;"")</f>
        <v/>
      </c>
      <c r="E225" s="32">
        <f>IF($A225="","",INDEX(Candidates!$BJ$2:$BJ$301,MATCH(LARGE(Candidates!$BK$2:$BK$301,$A225),Candidates!$BK$2:$BK$301,0)))</f>
        <v/>
      </c>
      <c r="F225" s="34">
        <f>IF($A225="","",INDEX(Candidates!$BL$2:$BL$301,MATCH(LARGE(Candidates!$BK$2:$BK$301,$A225),Candidates!$BK$2:$BK$301,0))&amp;"")</f>
        <v/>
      </c>
      <c r="G225" s="34">
        <f>IF($A225="","",INDEX(Candidates!$AV$2:$AV$301,MATCH(LARGE(Candidates!$BK$2:$BK$301,$A225),Candidates!$BK$2:$BK$301,0))&amp;"")</f>
        <v/>
      </c>
      <c r="H225" s="34">
        <f>IF($A225="","",INDEX(Candidates!$AW$2:$AW$301,MATCH(LARGE(Candidates!$BK$2:$BK$301,$A225),Candidates!$BK$2:$BK$301,0))&amp;"")</f>
        <v/>
      </c>
    </row>
    <row r="226">
      <c r="A226" s="32">
        <f>IF(ISNUMBER(LARGE(Candidates!$BK$2:$BK$301,222)),222,"")</f>
        <v/>
      </c>
      <c r="B226" s="33">
        <f>IF($A226="","",INDEX(Candidates!$AR$2:$AR$301,MATCH(LARGE(Candidates!$BK$2:$BK$301,$A226),Candidates!$BK$2:$BK$301,0))&amp;"")</f>
        <v/>
      </c>
      <c r="C226" s="34">
        <f>IF($A226="","",INDEX(Candidates!$AS$2:$AS$301,MATCH(LARGE(Candidates!$BK$2:$BK$301,$A226),Candidates!$BK$2:$BK$301,0))&amp;"")</f>
        <v/>
      </c>
      <c r="D226" s="34">
        <f>IF($A226="","",INDEX(Candidates!$AD$2:$AD$301,MATCH(LARGE(Candidates!$BK$2:$BK$301,$A226),Candidates!$BK$2:$BK$301,0))&amp;"")</f>
        <v/>
      </c>
      <c r="E226" s="32">
        <f>IF($A226="","",INDEX(Candidates!$BJ$2:$BJ$301,MATCH(LARGE(Candidates!$BK$2:$BK$301,$A226),Candidates!$BK$2:$BK$301,0)))</f>
        <v/>
      </c>
      <c r="F226" s="34">
        <f>IF($A226="","",INDEX(Candidates!$BL$2:$BL$301,MATCH(LARGE(Candidates!$BK$2:$BK$301,$A226),Candidates!$BK$2:$BK$301,0))&amp;"")</f>
        <v/>
      </c>
      <c r="G226" s="34">
        <f>IF($A226="","",INDEX(Candidates!$AV$2:$AV$301,MATCH(LARGE(Candidates!$BK$2:$BK$301,$A226),Candidates!$BK$2:$BK$301,0))&amp;"")</f>
        <v/>
      </c>
      <c r="H226" s="34">
        <f>IF($A226="","",INDEX(Candidates!$AW$2:$AW$301,MATCH(LARGE(Candidates!$BK$2:$BK$301,$A226),Candidates!$BK$2:$BK$301,0))&amp;"")</f>
        <v/>
      </c>
    </row>
    <row r="227">
      <c r="A227" s="32">
        <f>IF(ISNUMBER(LARGE(Candidates!$BK$2:$BK$301,223)),223,"")</f>
        <v/>
      </c>
      <c r="B227" s="33">
        <f>IF($A227="","",INDEX(Candidates!$AR$2:$AR$301,MATCH(LARGE(Candidates!$BK$2:$BK$301,$A227),Candidates!$BK$2:$BK$301,0))&amp;"")</f>
        <v/>
      </c>
      <c r="C227" s="34">
        <f>IF($A227="","",INDEX(Candidates!$AS$2:$AS$301,MATCH(LARGE(Candidates!$BK$2:$BK$301,$A227),Candidates!$BK$2:$BK$301,0))&amp;"")</f>
        <v/>
      </c>
      <c r="D227" s="34">
        <f>IF($A227="","",INDEX(Candidates!$AD$2:$AD$301,MATCH(LARGE(Candidates!$BK$2:$BK$301,$A227),Candidates!$BK$2:$BK$301,0))&amp;"")</f>
        <v/>
      </c>
      <c r="E227" s="32">
        <f>IF($A227="","",INDEX(Candidates!$BJ$2:$BJ$301,MATCH(LARGE(Candidates!$BK$2:$BK$301,$A227),Candidates!$BK$2:$BK$301,0)))</f>
        <v/>
      </c>
      <c r="F227" s="34">
        <f>IF($A227="","",INDEX(Candidates!$BL$2:$BL$301,MATCH(LARGE(Candidates!$BK$2:$BK$301,$A227),Candidates!$BK$2:$BK$301,0))&amp;"")</f>
        <v/>
      </c>
      <c r="G227" s="34">
        <f>IF($A227="","",INDEX(Candidates!$AV$2:$AV$301,MATCH(LARGE(Candidates!$BK$2:$BK$301,$A227),Candidates!$BK$2:$BK$301,0))&amp;"")</f>
        <v/>
      </c>
      <c r="H227" s="34">
        <f>IF($A227="","",INDEX(Candidates!$AW$2:$AW$301,MATCH(LARGE(Candidates!$BK$2:$BK$301,$A227),Candidates!$BK$2:$BK$301,0))&amp;"")</f>
        <v/>
      </c>
    </row>
    <row r="228">
      <c r="A228" s="32">
        <f>IF(ISNUMBER(LARGE(Candidates!$BK$2:$BK$301,224)),224,"")</f>
        <v/>
      </c>
      <c r="B228" s="33">
        <f>IF($A228="","",INDEX(Candidates!$AR$2:$AR$301,MATCH(LARGE(Candidates!$BK$2:$BK$301,$A228),Candidates!$BK$2:$BK$301,0))&amp;"")</f>
        <v/>
      </c>
      <c r="C228" s="34">
        <f>IF($A228="","",INDEX(Candidates!$AS$2:$AS$301,MATCH(LARGE(Candidates!$BK$2:$BK$301,$A228),Candidates!$BK$2:$BK$301,0))&amp;"")</f>
        <v/>
      </c>
      <c r="D228" s="34">
        <f>IF($A228="","",INDEX(Candidates!$AD$2:$AD$301,MATCH(LARGE(Candidates!$BK$2:$BK$301,$A228),Candidates!$BK$2:$BK$301,0))&amp;"")</f>
        <v/>
      </c>
      <c r="E228" s="32">
        <f>IF($A228="","",INDEX(Candidates!$BJ$2:$BJ$301,MATCH(LARGE(Candidates!$BK$2:$BK$301,$A228),Candidates!$BK$2:$BK$301,0)))</f>
        <v/>
      </c>
      <c r="F228" s="34">
        <f>IF($A228="","",INDEX(Candidates!$BL$2:$BL$301,MATCH(LARGE(Candidates!$BK$2:$BK$301,$A228),Candidates!$BK$2:$BK$301,0))&amp;"")</f>
        <v/>
      </c>
      <c r="G228" s="34">
        <f>IF($A228="","",INDEX(Candidates!$AV$2:$AV$301,MATCH(LARGE(Candidates!$BK$2:$BK$301,$A228),Candidates!$BK$2:$BK$301,0))&amp;"")</f>
        <v/>
      </c>
      <c r="H228" s="34">
        <f>IF($A228="","",INDEX(Candidates!$AW$2:$AW$301,MATCH(LARGE(Candidates!$BK$2:$BK$301,$A228),Candidates!$BK$2:$BK$301,0))&amp;"")</f>
        <v/>
      </c>
    </row>
    <row r="229">
      <c r="A229" s="32">
        <f>IF(ISNUMBER(LARGE(Candidates!$BK$2:$BK$301,225)),225,"")</f>
        <v/>
      </c>
      <c r="B229" s="33">
        <f>IF($A229="","",INDEX(Candidates!$AR$2:$AR$301,MATCH(LARGE(Candidates!$BK$2:$BK$301,$A229),Candidates!$BK$2:$BK$301,0))&amp;"")</f>
        <v/>
      </c>
      <c r="C229" s="34">
        <f>IF($A229="","",INDEX(Candidates!$AS$2:$AS$301,MATCH(LARGE(Candidates!$BK$2:$BK$301,$A229),Candidates!$BK$2:$BK$301,0))&amp;"")</f>
        <v/>
      </c>
      <c r="D229" s="34">
        <f>IF($A229="","",INDEX(Candidates!$AD$2:$AD$301,MATCH(LARGE(Candidates!$BK$2:$BK$301,$A229),Candidates!$BK$2:$BK$301,0))&amp;"")</f>
        <v/>
      </c>
      <c r="E229" s="32">
        <f>IF($A229="","",INDEX(Candidates!$BJ$2:$BJ$301,MATCH(LARGE(Candidates!$BK$2:$BK$301,$A229),Candidates!$BK$2:$BK$301,0)))</f>
        <v/>
      </c>
      <c r="F229" s="34">
        <f>IF($A229="","",INDEX(Candidates!$BL$2:$BL$301,MATCH(LARGE(Candidates!$BK$2:$BK$301,$A229),Candidates!$BK$2:$BK$301,0))&amp;"")</f>
        <v/>
      </c>
      <c r="G229" s="34">
        <f>IF($A229="","",INDEX(Candidates!$AV$2:$AV$301,MATCH(LARGE(Candidates!$BK$2:$BK$301,$A229),Candidates!$BK$2:$BK$301,0))&amp;"")</f>
        <v/>
      </c>
      <c r="H229" s="34">
        <f>IF($A229="","",INDEX(Candidates!$AW$2:$AW$301,MATCH(LARGE(Candidates!$BK$2:$BK$301,$A229),Candidates!$BK$2:$BK$301,0))&amp;"")</f>
        <v/>
      </c>
    </row>
    <row r="230">
      <c r="A230" s="32">
        <f>IF(ISNUMBER(LARGE(Candidates!$BK$2:$BK$301,226)),226,"")</f>
        <v/>
      </c>
      <c r="B230" s="33">
        <f>IF($A230="","",INDEX(Candidates!$AR$2:$AR$301,MATCH(LARGE(Candidates!$BK$2:$BK$301,$A230),Candidates!$BK$2:$BK$301,0))&amp;"")</f>
        <v/>
      </c>
      <c r="C230" s="34">
        <f>IF($A230="","",INDEX(Candidates!$AS$2:$AS$301,MATCH(LARGE(Candidates!$BK$2:$BK$301,$A230),Candidates!$BK$2:$BK$301,0))&amp;"")</f>
        <v/>
      </c>
      <c r="D230" s="34">
        <f>IF($A230="","",INDEX(Candidates!$AD$2:$AD$301,MATCH(LARGE(Candidates!$BK$2:$BK$301,$A230),Candidates!$BK$2:$BK$301,0))&amp;"")</f>
        <v/>
      </c>
      <c r="E230" s="32">
        <f>IF($A230="","",INDEX(Candidates!$BJ$2:$BJ$301,MATCH(LARGE(Candidates!$BK$2:$BK$301,$A230),Candidates!$BK$2:$BK$301,0)))</f>
        <v/>
      </c>
      <c r="F230" s="34">
        <f>IF($A230="","",INDEX(Candidates!$BL$2:$BL$301,MATCH(LARGE(Candidates!$BK$2:$BK$301,$A230),Candidates!$BK$2:$BK$301,0))&amp;"")</f>
        <v/>
      </c>
      <c r="G230" s="34">
        <f>IF($A230="","",INDEX(Candidates!$AV$2:$AV$301,MATCH(LARGE(Candidates!$BK$2:$BK$301,$A230),Candidates!$BK$2:$BK$301,0))&amp;"")</f>
        <v/>
      </c>
      <c r="H230" s="34">
        <f>IF($A230="","",INDEX(Candidates!$AW$2:$AW$301,MATCH(LARGE(Candidates!$BK$2:$BK$301,$A230),Candidates!$BK$2:$BK$301,0))&amp;"")</f>
        <v/>
      </c>
    </row>
    <row r="231">
      <c r="A231" s="32">
        <f>IF(ISNUMBER(LARGE(Candidates!$BK$2:$BK$301,227)),227,"")</f>
        <v/>
      </c>
      <c r="B231" s="33">
        <f>IF($A231="","",INDEX(Candidates!$AR$2:$AR$301,MATCH(LARGE(Candidates!$BK$2:$BK$301,$A231),Candidates!$BK$2:$BK$301,0))&amp;"")</f>
        <v/>
      </c>
      <c r="C231" s="34">
        <f>IF($A231="","",INDEX(Candidates!$AS$2:$AS$301,MATCH(LARGE(Candidates!$BK$2:$BK$301,$A231),Candidates!$BK$2:$BK$301,0))&amp;"")</f>
        <v/>
      </c>
      <c r="D231" s="34">
        <f>IF($A231="","",INDEX(Candidates!$AD$2:$AD$301,MATCH(LARGE(Candidates!$BK$2:$BK$301,$A231),Candidates!$BK$2:$BK$301,0))&amp;"")</f>
        <v/>
      </c>
      <c r="E231" s="32">
        <f>IF($A231="","",INDEX(Candidates!$BJ$2:$BJ$301,MATCH(LARGE(Candidates!$BK$2:$BK$301,$A231),Candidates!$BK$2:$BK$301,0)))</f>
        <v/>
      </c>
      <c r="F231" s="34">
        <f>IF($A231="","",INDEX(Candidates!$BL$2:$BL$301,MATCH(LARGE(Candidates!$BK$2:$BK$301,$A231),Candidates!$BK$2:$BK$301,0))&amp;"")</f>
        <v/>
      </c>
      <c r="G231" s="34">
        <f>IF($A231="","",INDEX(Candidates!$AV$2:$AV$301,MATCH(LARGE(Candidates!$BK$2:$BK$301,$A231),Candidates!$BK$2:$BK$301,0))&amp;"")</f>
        <v/>
      </c>
      <c r="H231" s="34">
        <f>IF($A231="","",INDEX(Candidates!$AW$2:$AW$301,MATCH(LARGE(Candidates!$BK$2:$BK$301,$A231),Candidates!$BK$2:$BK$301,0))&amp;"")</f>
        <v/>
      </c>
    </row>
    <row r="232">
      <c r="A232" s="32">
        <f>IF(ISNUMBER(LARGE(Candidates!$BK$2:$BK$301,228)),228,"")</f>
        <v/>
      </c>
      <c r="B232" s="33">
        <f>IF($A232="","",INDEX(Candidates!$AR$2:$AR$301,MATCH(LARGE(Candidates!$BK$2:$BK$301,$A232),Candidates!$BK$2:$BK$301,0))&amp;"")</f>
        <v/>
      </c>
      <c r="C232" s="34">
        <f>IF($A232="","",INDEX(Candidates!$AS$2:$AS$301,MATCH(LARGE(Candidates!$BK$2:$BK$301,$A232),Candidates!$BK$2:$BK$301,0))&amp;"")</f>
        <v/>
      </c>
      <c r="D232" s="34">
        <f>IF($A232="","",INDEX(Candidates!$AD$2:$AD$301,MATCH(LARGE(Candidates!$BK$2:$BK$301,$A232),Candidates!$BK$2:$BK$301,0))&amp;"")</f>
        <v/>
      </c>
      <c r="E232" s="32">
        <f>IF($A232="","",INDEX(Candidates!$BJ$2:$BJ$301,MATCH(LARGE(Candidates!$BK$2:$BK$301,$A232),Candidates!$BK$2:$BK$301,0)))</f>
        <v/>
      </c>
      <c r="F232" s="34">
        <f>IF($A232="","",INDEX(Candidates!$BL$2:$BL$301,MATCH(LARGE(Candidates!$BK$2:$BK$301,$A232),Candidates!$BK$2:$BK$301,0))&amp;"")</f>
        <v/>
      </c>
      <c r="G232" s="34">
        <f>IF($A232="","",INDEX(Candidates!$AV$2:$AV$301,MATCH(LARGE(Candidates!$BK$2:$BK$301,$A232),Candidates!$BK$2:$BK$301,0))&amp;"")</f>
        <v/>
      </c>
      <c r="H232" s="34">
        <f>IF($A232="","",INDEX(Candidates!$AW$2:$AW$301,MATCH(LARGE(Candidates!$BK$2:$BK$301,$A232),Candidates!$BK$2:$BK$301,0))&amp;"")</f>
        <v/>
      </c>
    </row>
    <row r="233">
      <c r="A233" s="32">
        <f>IF(ISNUMBER(LARGE(Candidates!$BK$2:$BK$301,229)),229,"")</f>
        <v/>
      </c>
      <c r="B233" s="33">
        <f>IF($A233="","",INDEX(Candidates!$AR$2:$AR$301,MATCH(LARGE(Candidates!$BK$2:$BK$301,$A233),Candidates!$BK$2:$BK$301,0))&amp;"")</f>
        <v/>
      </c>
      <c r="C233" s="34">
        <f>IF($A233="","",INDEX(Candidates!$AS$2:$AS$301,MATCH(LARGE(Candidates!$BK$2:$BK$301,$A233),Candidates!$BK$2:$BK$301,0))&amp;"")</f>
        <v/>
      </c>
      <c r="D233" s="34">
        <f>IF($A233="","",INDEX(Candidates!$AD$2:$AD$301,MATCH(LARGE(Candidates!$BK$2:$BK$301,$A233),Candidates!$BK$2:$BK$301,0))&amp;"")</f>
        <v/>
      </c>
      <c r="E233" s="32">
        <f>IF($A233="","",INDEX(Candidates!$BJ$2:$BJ$301,MATCH(LARGE(Candidates!$BK$2:$BK$301,$A233),Candidates!$BK$2:$BK$301,0)))</f>
        <v/>
      </c>
      <c r="F233" s="34">
        <f>IF($A233="","",INDEX(Candidates!$BL$2:$BL$301,MATCH(LARGE(Candidates!$BK$2:$BK$301,$A233),Candidates!$BK$2:$BK$301,0))&amp;"")</f>
        <v/>
      </c>
      <c r="G233" s="34">
        <f>IF($A233="","",INDEX(Candidates!$AV$2:$AV$301,MATCH(LARGE(Candidates!$BK$2:$BK$301,$A233),Candidates!$BK$2:$BK$301,0))&amp;"")</f>
        <v/>
      </c>
      <c r="H233" s="34">
        <f>IF($A233="","",INDEX(Candidates!$AW$2:$AW$301,MATCH(LARGE(Candidates!$BK$2:$BK$301,$A233),Candidates!$BK$2:$BK$301,0))&amp;"")</f>
        <v/>
      </c>
    </row>
    <row r="234">
      <c r="A234" s="32">
        <f>IF(ISNUMBER(LARGE(Candidates!$BK$2:$BK$301,230)),230,"")</f>
        <v/>
      </c>
      <c r="B234" s="33">
        <f>IF($A234="","",INDEX(Candidates!$AR$2:$AR$301,MATCH(LARGE(Candidates!$BK$2:$BK$301,$A234),Candidates!$BK$2:$BK$301,0))&amp;"")</f>
        <v/>
      </c>
      <c r="C234" s="34">
        <f>IF($A234="","",INDEX(Candidates!$AS$2:$AS$301,MATCH(LARGE(Candidates!$BK$2:$BK$301,$A234),Candidates!$BK$2:$BK$301,0))&amp;"")</f>
        <v/>
      </c>
      <c r="D234" s="34">
        <f>IF($A234="","",INDEX(Candidates!$AD$2:$AD$301,MATCH(LARGE(Candidates!$BK$2:$BK$301,$A234),Candidates!$BK$2:$BK$301,0))&amp;"")</f>
        <v/>
      </c>
      <c r="E234" s="32">
        <f>IF($A234="","",INDEX(Candidates!$BJ$2:$BJ$301,MATCH(LARGE(Candidates!$BK$2:$BK$301,$A234),Candidates!$BK$2:$BK$301,0)))</f>
        <v/>
      </c>
      <c r="F234" s="34">
        <f>IF($A234="","",INDEX(Candidates!$BL$2:$BL$301,MATCH(LARGE(Candidates!$BK$2:$BK$301,$A234),Candidates!$BK$2:$BK$301,0))&amp;"")</f>
        <v/>
      </c>
      <c r="G234" s="34">
        <f>IF($A234="","",INDEX(Candidates!$AV$2:$AV$301,MATCH(LARGE(Candidates!$BK$2:$BK$301,$A234),Candidates!$BK$2:$BK$301,0))&amp;"")</f>
        <v/>
      </c>
      <c r="H234" s="34">
        <f>IF($A234="","",INDEX(Candidates!$AW$2:$AW$301,MATCH(LARGE(Candidates!$BK$2:$BK$301,$A234),Candidates!$BK$2:$BK$301,0))&amp;"")</f>
        <v/>
      </c>
    </row>
    <row r="235">
      <c r="A235" s="32">
        <f>IF(ISNUMBER(LARGE(Candidates!$BK$2:$BK$301,231)),231,"")</f>
        <v/>
      </c>
      <c r="B235" s="33">
        <f>IF($A235="","",INDEX(Candidates!$AR$2:$AR$301,MATCH(LARGE(Candidates!$BK$2:$BK$301,$A235),Candidates!$BK$2:$BK$301,0))&amp;"")</f>
        <v/>
      </c>
      <c r="C235" s="34">
        <f>IF($A235="","",INDEX(Candidates!$AS$2:$AS$301,MATCH(LARGE(Candidates!$BK$2:$BK$301,$A235),Candidates!$BK$2:$BK$301,0))&amp;"")</f>
        <v/>
      </c>
      <c r="D235" s="34">
        <f>IF($A235="","",INDEX(Candidates!$AD$2:$AD$301,MATCH(LARGE(Candidates!$BK$2:$BK$301,$A235),Candidates!$BK$2:$BK$301,0))&amp;"")</f>
        <v/>
      </c>
      <c r="E235" s="32">
        <f>IF($A235="","",INDEX(Candidates!$BJ$2:$BJ$301,MATCH(LARGE(Candidates!$BK$2:$BK$301,$A235),Candidates!$BK$2:$BK$301,0)))</f>
        <v/>
      </c>
      <c r="F235" s="34">
        <f>IF($A235="","",INDEX(Candidates!$BL$2:$BL$301,MATCH(LARGE(Candidates!$BK$2:$BK$301,$A235),Candidates!$BK$2:$BK$301,0))&amp;"")</f>
        <v/>
      </c>
      <c r="G235" s="34">
        <f>IF($A235="","",INDEX(Candidates!$AV$2:$AV$301,MATCH(LARGE(Candidates!$BK$2:$BK$301,$A235),Candidates!$BK$2:$BK$301,0))&amp;"")</f>
        <v/>
      </c>
      <c r="H235" s="34">
        <f>IF($A235="","",INDEX(Candidates!$AW$2:$AW$301,MATCH(LARGE(Candidates!$BK$2:$BK$301,$A235),Candidates!$BK$2:$BK$301,0))&amp;"")</f>
        <v/>
      </c>
    </row>
    <row r="236">
      <c r="A236" s="32">
        <f>IF(ISNUMBER(LARGE(Candidates!$BK$2:$BK$301,232)),232,"")</f>
        <v/>
      </c>
      <c r="B236" s="33">
        <f>IF($A236="","",INDEX(Candidates!$AR$2:$AR$301,MATCH(LARGE(Candidates!$BK$2:$BK$301,$A236),Candidates!$BK$2:$BK$301,0))&amp;"")</f>
        <v/>
      </c>
      <c r="C236" s="34">
        <f>IF($A236="","",INDEX(Candidates!$AS$2:$AS$301,MATCH(LARGE(Candidates!$BK$2:$BK$301,$A236),Candidates!$BK$2:$BK$301,0))&amp;"")</f>
        <v/>
      </c>
      <c r="D236" s="34">
        <f>IF($A236="","",INDEX(Candidates!$AD$2:$AD$301,MATCH(LARGE(Candidates!$BK$2:$BK$301,$A236),Candidates!$BK$2:$BK$301,0))&amp;"")</f>
        <v/>
      </c>
      <c r="E236" s="32">
        <f>IF($A236="","",INDEX(Candidates!$BJ$2:$BJ$301,MATCH(LARGE(Candidates!$BK$2:$BK$301,$A236),Candidates!$BK$2:$BK$301,0)))</f>
        <v/>
      </c>
      <c r="F236" s="34">
        <f>IF($A236="","",INDEX(Candidates!$BL$2:$BL$301,MATCH(LARGE(Candidates!$BK$2:$BK$301,$A236),Candidates!$BK$2:$BK$301,0))&amp;"")</f>
        <v/>
      </c>
      <c r="G236" s="34">
        <f>IF($A236="","",INDEX(Candidates!$AV$2:$AV$301,MATCH(LARGE(Candidates!$BK$2:$BK$301,$A236),Candidates!$BK$2:$BK$301,0))&amp;"")</f>
        <v/>
      </c>
      <c r="H236" s="34">
        <f>IF($A236="","",INDEX(Candidates!$AW$2:$AW$301,MATCH(LARGE(Candidates!$BK$2:$BK$301,$A236),Candidates!$BK$2:$BK$301,0))&amp;"")</f>
        <v/>
      </c>
    </row>
    <row r="237">
      <c r="A237" s="32">
        <f>IF(ISNUMBER(LARGE(Candidates!$BK$2:$BK$301,233)),233,"")</f>
        <v/>
      </c>
      <c r="B237" s="33">
        <f>IF($A237="","",INDEX(Candidates!$AR$2:$AR$301,MATCH(LARGE(Candidates!$BK$2:$BK$301,$A237),Candidates!$BK$2:$BK$301,0))&amp;"")</f>
        <v/>
      </c>
      <c r="C237" s="34">
        <f>IF($A237="","",INDEX(Candidates!$AS$2:$AS$301,MATCH(LARGE(Candidates!$BK$2:$BK$301,$A237),Candidates!$BK$2:$BK$301,0))&amp;"")</f>
        <v/>
      </c>
      <c r="D237" s="34">
        <f>IF($A237="","",INDEX(Candidates!$AD$2:$AD$301,MATCH(LARGE(Candidates!$BK$2:$BK$301,$A237),Candidates!$BK$2:$BK$301,0))&amp;"")</f>
        <v/>
      </c>
      <c r="E237" s="32">
        <f>IF($A237="","",INDEX(Candidates!$BJ$2:$BJ$301,MATCH(LARGE(Candidates!$BK$2:$BK$301,$A237),Candidates!$BK$2:$BK$301,0)))</f>
        <v/>
      </c>
      <c r="F237" s="34">
        <f>IF($A237="","",INDEX(Candidates!$BL$2:$BL$301,MATCH(LARGE(Candidates!$BK$2:$BK$301,$A237),Candidates!$BK$2:$BK$301,0))&amp;"")</f>
        <v/>
      </c>
      <c r="G237" s="34">
        <f>IF($A237="","",INDEX(Candidates!$AV$2:$AV$301,MATCH(LARGE(Candidates!$BK$2:$BK$301,$A237),Candidates!$BK$2:$BK$301,0))&amp;"")</f>
        <v/>
      </c>
      <c r="H237" s="34">
        <f>IF($A237="","",INDEX(Candidates!$AW$2:$AW$301,MATCH(LARGE(Candidates!$BK$2:$BK$301,$A237),Candidates!$BK$2:$BK$301,0))&amp;"")</f>
        <v/>
      </c>
    </row>
    <row r="238">
      <c r="A238" s="32">
        <f>IF(ISNUMBER(LARGE(Candidates!$BK$2:$BK$301,234)),234,"")</f>
        <v/>
      </c>
      <c r="B238" s="33">
        <f>IF($A238="","",INDEX(Candidates!$AR$2:$AR$301,MATCH(LARGE(Candidates!$BK$2:$BK$301,$A238),Candidates!$BK$2:$BK$301,0))&amp;"")</f>
        <v/>
      </c>
      <c r="C238" s="34">
        <f>IF($A238="","",INDEX(Candidates!$AS$2:$AS$301,MATCH(LARGE(Candidates!$BK$2:$BK$301,$A238),Candidates!$BK$2:$BK$301,0))&amp;"")</f>
        <v/>
      </c>
      <c r="D238" s="34">
        <f>IF($A238="","",INDEX(Candidates!$AD$2:$AD$301,MATCH(LARGE(Candidates!$BK$2:$BK$301,$A238),Candidates!$BK$2:$BK$301,0))&amp;"")</f>
        <v/>
      </c>
      <c r="E238" s="32">
        <f>IF($A238="","",INDEX(Candidates!$BJ$2:$BJ$301,MATCH(LARGE(Candidates!$BK$2:$BK$301,$A238),Candidates!$BK$2:$BK$301,0)))</f>
        <v/>
      </c>
      <c r="F238" s="34">
        <f>IF($A238="","",INDEX(Candidates!$BL$2:$BL$301,MATCH(LARGE(Candidates!$BK$2:$BK$301,$A238),Candidates!$BK$2:$BK$301,0))&amp;"")</f>
        <v/>
      </c>
      <c r="G238" s="34">
        <f>IF($A238="","",INDEX(Candidates!$AV$2:$AV$301,MATCH(LARGE(Candidates!$BK$2:$BK$301,$A238),Candidates!$BK$2:$BK$301,0))&amp;"")</f>
        <v/>
      </c>
      <c r="H238" s="34">
        <f>IF($A238="","",INDEX(Candidates!$AW$2:$AW$301,MATCH(LARGE(Candidates!$BK$2:$BK$301,$A238),Candidates!$BK$2:$BK$301,0))&amp;"")</f>
        <v/>
      </c>
    </row>
    <row r="239">
      <c r="A239" s="32">
        <f>IF(ISNUMBER(LARGE(Candidates!$BK$2:$BK$301,235)),235,"")</f>
        <v/>
      </c>
      <c r="B239" s="33">
        <f>IF($A239="","",INDEX(Candidates!$AR$2:$AR$301,MATCH(LARGE(Candidates!$BK$2:$BK$301,$A239),Candidates!$BK$2:$BK$301,0))&amp;"")</f>
        <v/>
      </c>
      <c r="C239" s="34">
        <f>IF($A239="","",INDEX(Candidates!$AS$2:$AS$301,MATCH(LARGE(Candidates!$BK$2:$BK$301,$A239),Candidates!$BK$2:$BK$301,0))&amp;"")</f>
        <v/>
      </c>
      <c r="D239" s="34">
        <f>IF($A239="","",INDEX(Candidates!$AD$2:$AD$301,MATCH(LARGE(Candidates!$BK$2:$BK$301,$A239),Candidates!$BK$2:$BK$301,0))&amp;"")</f>
        <v/>
      </c>
      <c r="E239" s="32">
        <f>IF($A239="","",INDEX(Candidates!$BJ$2:$BJ$301,MATCH(LARGE(Candidates!$BK$2:$BK$301,$A239),Candidates!$BK$2:$BK$301,0)))</f>
        <v/>
      </c>
      <c r="F239" s="34">
        <f>IF($A239="","",INDEX(Candidates!$BL$2:$BL$301,MATCH(LARGE(Candidates!$BK$2:$BK$301,$A239),Candidates!$BK$2:$BK$301,0))&amp;"")</f>
        <v/>
      </c>
      <c r="G239" s="34">
        <f>IF($A239="","",INDEX(Candidates!$AV$2:$AV$301,MATCH(LARGE(Candidates!$BK$2:$BK$301,$A239),Candidates!$BK$2:$BK$301,0))&amp;"")</f>
        <v/>
      </c>
      <c r="H239" s="34">
        <f>IF($A239="","",INDEX(Candidates!$AW$2:$AW$301,MATCH(LARGE(Candidates!$BK$2:$BK$301,$A239),Candidates!$BK$2:$BK$301,0))&amp;"")</f>
        <v/>
      </c>
    </row>
    <row r="240">
      <c r="A240" s="32">
        <f>IF(ISNUMBER(LARGE(Candidates!$BK$2:$BK$301,236)),236,"")</f>
        <v/>
      </c>
      <c r="B240" s="33">
        <f>IF($A240="","",INDEX(Candidates!$AR$2:$AR$301,MATCH(LARGE(Candidates!$BK$2:$BK$301,$A240),Candidates!$BK$2:$BK$301,0))&amp;"")</f>
        <v/>
      </c>
      <c r="C240" s="34">
        <f>IF($A240="","",INDEX(Candidates!$AS$2:$AS$301,MATCH(LARGE(Candidates!$BK$2:$BK$301,$A240),Candidates!$BK$2:$BK$301,0))&amp;"")</f>
        <v/>
      </c>
      <c r="D240" s="34">
        <f>IF($A240="","",INDEX(Candidates!$AD$2:$AD$301,MATCH(LARGE(Candidates!$BK$2:$BK$301,$A240),Candidates!$BK$2:$BK$301,0))&amp;"")</f>
        <v/>
      </c>
      <c r="E240" s="32">
        <f>IF($A240="","",INDEX(Candidates!$BJ$2:$BJ$301,MATCH(LARGE(Candidates!$BK$2:$BK$301,$A240),Candidates!$BK$2:$BK$301,0)))</f>
        <v/>
      </c>
      <c r="F240" s="34">
        <f>IF($A240="","",INDEX(Candidates!$BL$2:$BL$301,MATCH(LARGE(Candidates!$BK$2:$BK$301,$A240),Candidates!$BK$2:$BK$301,0))&amp;"")</f>
        <v/>
      </c>
      <c r="G240" s="34">
        <f>IF($A240="","",INDEX(Candidates!$AV$2:$AV$301,MATCH(LARGE(Candidates!$BK$2:$BK$301,$A240),Candidates!$BK$2:$BK$301,0))&amp;"")</f>
        <v/>
      </c>
      <c r="H240" s="34">
        <f>IF($A240="","",INDEX(Candidates!$AW$2:$AW$301,MATCH(LARGE(Candidates!$BK$2:$BK$301,$A240),Candidates!$BK$2:$BK$301,0))&amp;"")</f>
        <v/>
      </c>
    </row>
    <row r="241">
      <c r="A241" s="32">
        <f>IF(ISNUMBER(LARGE(Candidates!$BK$2:$BK$301,237)),237,"")</f>
        <v/>
      </c>
      <c r="B241" s="33">
        <f>IF($A241="","",INDEX(Candidates!$AR$2:$AR$301,MATCH(LARGE(Candidates!$BK$2:$BK$301,$A241),Candidates!$BK$2:$BK$301,0))&amp;"")</f>
        <v/>
      </c>
      <c r="C241" s="34">
        <f>IF($A241="","",INDEX(Candidates!$AS$2:$AS$301,MATCH(LARGE(Candidates!$BK$2:$BK$301,$A241),Candidates!$BK$2:$BK$301,0))&amp;"")</f>
        <v/>
      </c>
      <c r="D241" s="34">
        <f>IF($A241="","",INDEX(Candidates!$AD$2:$AD$301,MATCH(LARGE(Candidates!$BK$2:$BK$301,$A241),Candidates!$BK$2:$BK$301,0))&amp;"")</f>
        <v/>
      </c>
      <c r="E241" s="32">
        <f>IF($A241="","",INDEX(Candidates!$BJ$2:$BJ$301,MATCH(LARGE(Candidates!$BK$2:$BK$301,$A241),Candidates!$BK$2:$BK$301,0)))</f>
        <v/>
      </c>
      <c r="F241" s="34">
        <f>IF($A241="","",INDEX(Candidates!$BL$2:$BL$301,MATCH(LARGE(Candidates!$BK$2:$BK$301,$A241),Candidates!$BK$2:$BK$301,0))&amp;"")</f>
        <v/>
      </c>
      <c r="G241" s="34">
        <f>IF($A241="","",INDEX(Candidates!$AV$2:$AV$301,MATCH(LARGE(Candidates!$BK$2:$BK$301,$A241),Candidates!$BK$2:$BK$301,0))&amp;"")</f>
        <v/>
      </c>
      <c r="H241" s="34">
        <f>IF($A241="","",INDEX(Candidates!$AW$2:$AW$301,MATCH(LARGE(Candidates!$BK$2:$BK$301,$A241),Candidates!$BK$2:$BK$301,0))&amp;"")</f>
        <v/>
      </c>
    </row>
    <row r="242">
      <c r="A242" s="32">
        <f>IF(ISNUMBER(LARGE(Candidates!$BK$2:$BK$301,238)),238,"")</f>
        <v/>
      </c>
      <c r="B242" s="33">
        <f>IF($A242="","",INDEX(Candidates!$AR$2:$AR$301,MATCH(LARGE(Candidates!$BK$2:$BK$301,$A242),Candidates!$BK$2:$BK$301,0))&amp;"")</f>
        <v/>
      </c>
      <c r="C242" s="34">
        <f>IF($A242="","",INDEX(Candidates!$AS$2:$AS$301,MATCH(LARGE(Candidates!$BK$2:$BK$301,$A242),Candidates!$BK$2:$BK$301,0))&amp;"")</f>
        <v/>
      </c>
      <c r="D242" s="34">
        <f>IF($A242="","",INDEX(Candidates!$AD$2:$AD$301,MATCH(LARGE(Candidates!$BK$2:$BK$301,$A242),Candidates!$BK$2:$BK$301,0))&amp;"")</f>
        <v/>
      </c>
      <c r="E242" s="32">
        <f>IF($A242="","",INDEX(Candidates!$BJ$2:$BJ$301,MATCH(LARGE(Candidates!$BK$2:$BK$301,$A242),Candidates!$BK$2:$BK$301,0)))</f>
        <v/>
      </c>
      <c r="F242" s="34">
        <f>IF($A242="","",INDEX(Candidates!$BL$2:$BL$301,MATCH(LARGE(Candidates!$BK$2:$BK$301,$A242),Candidates!$BK$2:$BK$301,0))&amp;"")</f>
        <v/>
      </c>
      <c r="G242" s="34">
        <f>IF($A242="","",INDEX(Candidates!$AV$2:$AV$301,MATCH(LARGE(Candidates!$BK$2:$BK$301,$A242),Candidates!$BK$2:$BK$301,0))&amp;"")</f>
        <v/>
      </c>
      <c r="H242" s="34">
        <f>IF($A242="","",INDEX(Candidates!$AW$2:$AW$301,MATCH(LARGE(Candidates!$BK$2:$BK$301,$A242),Candidates!$BK$2:$BK$301,0))&amp;"")</f>
        <v/>
      </c>
    </row>
    <row r="243">
      <c r="A243" s="32">
        <f>IF(ISNUMBER(LARGE(Candidates!$BK$2:$BK$301,239)),239,"")</f>
        <v/>
      </c>
      <c r="B243" s="33">
        <f>IF($A243="","",INDEX(Candidates!$AR$2:$AR$301,MATCH(LARGE(Candidates!$BK$2:$BK$301,$A243),Candidates!$BK$2:$BK$301,0))&amp;"")</f>
        <v/>
      </c>
      <c r="C243" s="34">
        <f>IF($A243="","",INDEX(Candidates!$AS$2:$AS$301,MATCH(LARGE(Candidates!$BK$2:$BK$301,$A243),Candidates!$BK$2:$BK$301,0))&amp;"")</f>
        <v/>
      </c>
      <c r="D243" s="34">
        <f>IF($A243="","",INDEX(Candidates!$AD$2:$AD$301,MATCH(LARGE(Candidates!$BK$2:$BK$301,$A243),Candidates!$BK$2:$BK$301,0))&amp;"")</f>
        <v/>
      </c>
      <c r="E243" s="32">
        <f>IF($A243="","",INDEX(Candidates!$BJ$2:$BJ$301,MATCH(LARGE(Candidates!$BK$2:$BK$301,$A243),Candidates!$BK$2:$BK$301,0)))</f>
        <v/>
      </c>
      <c r="F243" s="34">
        <f>IF($A243="","",INDEX(Candidates!$BL$2:$BL$301,MATCH(LARGE(Candidates!$BK$2:$BK$301,$A243),Candidates!$BK$2:$BK$301,0))&amp;"")</f>
        <v/>
      </c>
      <c r="G243" s="34">
        <f>IF($A243="","",INDEX(Candidates!$AV$2:$AV$301,MATCH(LARGE(Candidates!$BK$2:$BK$301,$A243),Candidates!$BK$2:$BK$301,0))&amp;"")</f>
        <v/>
      </c>
      <c r="H243" s="34">
        <f>IF($A243="","",INDEX(Candidates!$AW$2:$AW$301,MATCH(LARGE(Candidates!$BK$2:$BK$301,$A243),Candidates!$BK$2:$BK$301,0))&amp;"")</f>
        <v/>
      </c>
    </row>
    <row r="244">
      <c r="A244" s="32">
        <f>IF(ISNUMBER(LARGE(Candidates!$BK$2:$BK$301,240)),240,"")</f>
        <v/>
      </c>
      <c r="B244" s="33">
        <f>IF($A244="","",INDEX(Candidates!$AR$2:$AR$301,MATCH(LARGE(Candidates!$BK$2:$BK$301,$A244),Candidates!$BK$2:$BK$301,0))&amp;"")</f>
        <v/>
      </c>
      <c r="C244" s="34">
        <f>IF($A244="","",INDEX(Candidates!$AS$2:$AS$301,MATCH(LARGE(Candidates!$BK$2:$BK$301,$A244),Candidates!$BK$2:$BK$301,0))&amp;"")</f>
        <v/>
      </c>
      <c r="D244" s="34">
        <f>IF($A244="","",INDEX(Candidates!$AD$2:$AD$301,MATCH(LARGE(Candidates!$BK$2:$BK$301,$A244),Candidates!$BK$2:$BK$301,0))&amp;"")</f>
        <v/>
      </c>
      <c r="E244" s="32">
        <f>IF($A244="","",INDEX(Candidates!$BJ$2:$BJ$301,MATCH(LARGE(Candidates!$BK$2:$BK$301,$A244),Candidates!$BK$2:$BK$301,0)))</f>
        <v/>
      </c>
      <c r="F244" s="34">
        <f>IF($A244="","",INDEX(Candidates!$BL$2:$BL$301,MATCH(LARGE(Candidates!$BK$2:$BK$301,$A244),Candidates!$BK$2:$BK$301,0))&amp;"")</f>
        <v/>
      </c>
      <c r="G244" s="34">
        <f>IF($A244="","",INDEX(Candidates!$AV$2:$AV$301,MATCH(LARGE(Candidates!$BK$2:$BK$301,$A244),Candidates!$BK$2:$BK$301,0))&amp;"")</f>
        <v/>
      </c>
      <c r="H244" s="34">
        <f>IF($A244="","",INDEX(Candidates!$AW$2:$AW$301,MATCH(LARGE(Candidates!$BK$2:$BK$301,$A244),Candidates!$BK$2:$BK$301,0))&amp;"")</f>
        <v/>
      </c>
    </row>
    <row r="245">
      <c r="A245" s="32">
        <f>IF(ISNUMBER(LARGE(Candidates!$BK$2:$BK$301,241)),241,"")</f>
        <v/>
      </c>
      <c r="B245" s="33">
        <f>IF($A245="","",INDEX(Candidates!$AR$2:$AR$301,MATCH(LARGE(Candidates!$BK$2:$BK$301,$A245),Candidates!$BK$2:$BK$301,0))&amp;"")</f>
        <v/>
      </c>
      <c r="C245" s="34">
        <f>IF($A245="","",INDEX(Candidates!$AS$2:$AS$301,MATCH(LARGE(Candidates!$BK$2:$BK$301,$A245),Candidates!$BK$2:$BK$301,0))&amp;"")</f>
        <v/>
      </c>
      <c r="D245" s="34">
        <f>IF($A245="","",INDEX(Candidates!$AD$2:$AD$301,MATCH(LARGE(Candidates!$BK$2:$BK$301,$A245),Candidates!$BK$2:$BK$301,0))&amp;"")</f>
        <v/>
      </c>
      <c r="E245" s="32">
        <f>IF($A245="","",INDEX(Candidates!$BJ$2:$BJ$301,MATCH(LARGE(Candidates!$BK$2:$BK$301,$A245),Candidates!$BK$2:$BK$301,0)))</f>
        <v/>
      </c>
      <c r="F245" s="34">
        <f>IF($A245="","",INDEX(Candidates!$BL$2:$BL$301,MATCH(LARGE(Candidates!$BK$2:$BK$301,$A245),Candidates!$BK$2:$BK$301,0))&amp;"")</f>
        <v/>
      </c>
      <c r="G245" s="34">
        <f>IF($A245="","",INDEX(Candidates!$AV$2:$AV$301,MATCH(LARGE(Candidates!$BK$2:$BK$301,$A245),Candidates!$BK$2:$BK$301,0))&amp;"")</f>
        <v/>
      </c>
      <c r="H245" s="34">
        <f>IF($A245="","",INDEX(Candidates!$AW$2:$AW$301,MATCH(LARGE(Candidates!$BK$2:$BK$301,$A245),Candidates!$BK$2:$BK$301,0))&amp;"")</f>
        <v/>
      </c>
    </row>
    <row r="246">
      <c r="A246" s="32">
        <f>IF(ISNUMBER(LARGE(Candidates!$BK$2:$BK$301,242)),242,"")</f>
        <v/>
      </c>
      <c r="B246" s="33">
        <f>IF($A246="","",INDEX(Candidates!$AR$2:$AR$301,MATCH(LARGE(Candidates!$BK$2:$BK$301,$A246),Candidates!$BK$2:$BK$301,0))&amp;"")</f>
        <v/>
      </c>
      <c r="C246" s="34">
        <f>IF($A246="","",INDEX(Candidates!$AS$2:$AS$301,MATCH(LARGE(Candidates!$BK$2:$BK$301,$A246),Candidates!$BK$2:$BK$301,0))&amp;"")</f>
        <v/>
      </c>
      <c r="D246" s="34">
        <f>IF($A246="","",INDEX(Candidates!$AD$2:$AD$301,MATCH(LARGE(Candidates!$BK$2:$BK$301,$A246),Candidates!$BK$2:$BK$301,0))&amp;"")</f>
        <v/>
      </c>
      <c r="E246" s="32">
        <f>IF($A246="","",INDEX(Candidates!$BJ$2:$BJ$301,MATCH(LARGE(Candidates!$BK$2:$BK$301,$A246),Candidates!$BK$2:$BK$301,0)))</f>
        <v/>
      </c>
      <c r="F246" s="34">
        <f>IF($A246="","",INDEX(Candidates!$BL$2:$BL$301,MATCH(LARGE(Candidates!$BK$2:$BK$301,$A246),Candidates!$BK$2:$BK$301,0))&amp;"")</f>
        <v/>
      </c>
      <c r="G246" s="34">
        <f>IF($A246="","",INDEX(Candidates!$AV$2:$AV$301,MATCH(LARGE(Candidates!$BK$2:$BK$301,$A246),Candidates!$BK$2:$BK$301,0))&amp;"")</f>
        <v/>
      </c>
      <c r="H246" s="34">
        <f>IF($A246="","",INDEX(Candidates!$AW$2:$AW$301,MATCH(LARGE(Candidates!$BK$2:$BK$301,$A246),Candidates!$BK$2:$BK$301,0))&amp;"")</f>
        <v/>
      </c>
    </row>
    <row r="247">
      <c r="A247" s="32">
        <f>IF(ISNUMBER(LARGE(Candidates!$BK$2:$BK$301,243)),243,"")</f>
        <v/>
      </c>
      <c r="B247" s="33">
        <f>IF($A247="","",INDEX(Candidates!$AR$2:$AR$301,MATCH(LARGE(Candidates!$BK$2:$BK$301,$A247),Candidates!$BK$2:$BK$301,0))&amp;"")</f>
        <v/>
      </c>
      <c r="C247" s="34">
        <f>IF($A247="","",INDEX(Candidates!$AS$2:$AS$301,MATCH(LARGE(Candidates!$BK$2:$BK$301,$A247),Candidates!$BK$2:$BK$301,0))&amp;"")</f>
        <v/>
      </c>
      <c r="D247" s="34">
        <f>IF($A247="","",INDEX(Candidates!$AD$2:$AD$301,MATCH(LARGE(Candidates!$BK$2:$BK$301,$A247),Candidates!$BK$2:$BK$301,0))&amp;"")</f>
        <v/>
      </c>
      <c r="E247" s="32">
        <f>IF($A247="","",INDEX(Candidates!$BJ$2:$BJ$301,MATCH(LARGE(Candidates!$BK$2:$BK$301,$A247),Candidates!$BK$2:$BK$301,0)))</f>
        <v/>
      </c>
      <c r="F247" s="34">
        <f>IF($A247="","",INDEX(Candidates!$BL$2:$BL$301,MATCH(LARGE(Candidates!$BK$2:$BK$301,$A247),Candidates!$BK$2:$BK$301,0))&amp;"")</f>
        <v/>
      </c>
      <c r="G247" s="34">
        <f>IF($A247="","",INDEX(Candidates!$AV$2:$AV$301,MATCH(LARGE(Candidates!$BK$2:$BK$301,$A247),Candidates!$BK$2:$BK$301,0))&amp;"")</f>
        <v/>
      </c>
      <c r="H247" s="34">
        <f>IF($A247="","",INDEX(Candidates!$AW$2:$AW$301,MATCH(LARGE(Candidates!$BK$2:$BK$301,$A247),Candidates!$BK$2:$BK$301,0))&amp;"")</f>
        <v/>
      </c>
    </row>
    <row r="248">
      <c r="A248" s="32">
        <f>IF(ISNUMBER(LARGE(Candidates!$BK$2:$BK$301,244)),244,"")</f>
        <v/>
      </c>
      <c r="B248" s="33">
        <f>IF($A248="","",INDEX(Candidates!$AR$2:$AR$301,MATCH(LARGE(Candidates!$BK$2:$BK$301,$A248),Candidates!$BK$2:$BK$301,0))&amp;"")</f>
        <v/>
      </c>
      <c r="C248" s="34">
        <f>IF($A248="","",INDEX(Candidates!$AS$2:$AS$301,MATCH(LARGE(Candidates!$BK$2:$BK$301,$A248),Candidates!$BK$2:$BK$301,0))&amp;"")</f>
        <v/>
      </c>
      <c r="D248" s="34">
        <f>IF($A248="","",INDEX(Candidates!$AD$2:$AD$301,MATCH(LARGE(Candidates!$BK$2:$BK$301,$A248),Candidates!$BK$2:$BK$301,0))&amp;"")</f>
        <v/>
      </c>
      <c r="E248" s="32">
        <f>IF($A248="","",INDEX(Candidates!$BJ$2:$BJ$301,MATCH(LARGE(Candidates!$BK$2:$BK$301,$A248),Candidates!$BK$2:$BK$301,0)))</f>
        <v/>
      </c>
      <c r="F248" s="34">
        <f>IF($A248="","",INDEX(Candidates!$BL$2:$BL$301,MATCH(LARGE(Candidates!$BK$2:$BK$301,$A248),Candidates!$BK$2:$BK$301,0))&amp;"")</f>
        <v/>
      </c>
      <c r="G248" s="34">
        <f>IF($A248="","",INDEX(Candidates!$AV$2:$AV$301,MATCH(LARGE(Candidates!$BK$2:$BK$301,$A248),Candidates!$BK$2:$BK$301,0))&amp;"")</f>
        <v/>
      </c>
      <c r="H248" s="34">
        <f>IF($A248="","",INDEX(Candidates!$AW$2:$AW$301,MATCH(LARGE(Candidates!$BK$2:$BK$301,$A248),Candidates!$BK$2:$BK$301,0))&amp;"")</f>
        <v/>
      </c>
    </row>
    <row r="249">
      <c r="A249" s="32">
        <f>IF(ISNUMBER(LARGE(Candidates!$BK$2:$BK$301,245)),245,"")</f>
        <v/>
      </c>
      <c r="B249" s="33">
        <f>IF($A249="","",INDEX(Candidates!$AR$2:$AR$301,MATCH(LARGE(Candidates!$BK$2:$BK$301,$A249),Candidates!$BK$2:$BK$301,0))&amp;"")</f>
        <v/>
      </c>
      <c r="C249" s="34">
        <f>IF($A249="","",INDEX(Candidates!$AS$2:$AS$301,MATCH(LARGE(Candidates!$BK$2:$BK$301,$A249),Candidates!$BK$2:$BK$301,0))&amp;"")</f>
        <v/>
      </c>
      <c r="D249" s="34">
        <f>IF($A249="","",INDEX(Candidates!$AD$2:$AD$301,MATCH(LARGE(Candidates!$BK$2:$BK$301,$A249),Candidates!$BK$2:$BK$301,0))&amp;"")</f>
        <v/>
      </c>
      <c r="E249" s="32">
        <f>IF($A249="","",INDEX(Candidates!$BJ$2:$BJ$301,MATCH(LARGE(Candidates!$BK$2:$BK$301,$A249),Candidates!$BK$2:$BK$301,0)))</f>
        <v/>
      </c>
      <c r="F249" s="34">
        <f>IF($A249="","",INDEX(Candidates!$BL$2:$BL$301,MATCH(LARGE(Candidates!$BK$2:$BK$301,$A249),Candidates!$BK$2:$BK$301,0))&amp;"")</f>
        <v/>
      </c>
      <c r="G249" s="34">
        <f>IF($A249="","",INDEX(Candidates!$AV$2:$AV$301,MATCH(LARGE(Candidates!$BK$2:$BK$301,$A249),Candidates!$BK$2:$BK$301,0))&amp;"")</f>
        <v/>
      </c>
      <c r="H249" s="34">
        <f>IF($A249="","",INDEX(Candidates!$AW$2:$AW$301,MATCH(LARGE(Candidates!$BK$2:$BK$301,$A249),Candidates!$BK$2:$BK$301,0))&amp;"")</f>
        <v/>
      </c>
    </row>
    <row r="250">
      <c r="A250" s="32">
        <f>IF(ISNUMBER(LARGE(Candidates!$BK$2:$BK$301,246)),246,"")</f>
        <v/>
      </c>
      <c r="B250" s="33">
        <f>IF($A250="","",INDEX(Candidates!$AR$2:$AR$301,MATCH(LARGE(Candidates!$BK$2:$BK$301,$A250),Candidates!$BK$2:$BK$301,0))&amp;"")</f>
        <v/>
      </c>
      <c r="C250" s="34">
        <f>IF($A250="","",INDEX(Candidates!$AS$2:$AS$301,MATCH(LARGE(Candidates!$BK$2:$BK$301,$A250),Candidates!$BK$2:$BK$301,0))&amp;"")</f>
        <v/>
      </c>
      <c r="D250" s="34">
        <f>IF($A250="","",INDEX(Candidates!$AD$2:$AD$301,MATCH(LARGE(Candidates!$BK$2:$BK$301,$A250),Candidates!$BK$2:$BK$301,0))&amp;"")</f>
        <v/>
      </c>
      <c r="E250" s="32">
        <f>IF($A250="","",INDEX(Candidates!$BJ$2:$BJ$301,MATCH(LARGE(Candidates!$BK$2:$BK$301,$A250),Candidates!$BK$2:$BK$301,0)))</f>
        <v/>
      </c>
      <c r="F250" s="34">
        <f>IF($A250="","",INDEX(Candidates!$BL$2:$BL$301,MATCH(LARGE(Candidates!$BK$2:$BK$301,$A250),Candidates!$BK$2:$BK$301,0))&amp;"")</f>
        <v/>
      </c>
      <c r="G250" s="34">
        <f>IF($A250="","",INDEX(Candidates!$AV$2:$AV$301,MATCH(LARGE(Candidates!$BK$2:$BK$301,$A250),Candidates!$BK$2:$BK$301,0))&amp;"")</f>
        <v/>
      </c>
      <c r="H250" s="34">
        <f>IF($A250="","",INDEX(Candidates!$AW$2:$AW$301,MATCH(LARGE(Candidates!$BK$2:$BK$301,$A250),Candidates!$BK$2:$BK$301,0))&amp;"")</f>
        <v/>
      </c>
    </row>
    <row r="251">
      <c r="A251" s="32">
        <f>IF(ISNUMBER(LARGE(Candidates!$BK$2:$BK$301,247)),247,"")</f>
        <v/>
      </c>
      <c r="B251" s="33">
        <f>IF($A251="","",INDEX(Candidates!$AR$2:$AR$301,MATCH(LARGE(Candidates!$BK$2:$BK$301,$A251),Candidates!$BK$2:$BK$301,0))&amp;"")</f>
        <v/>
      </c>
      <c r="C251" s="34">
        <f>IF($A251="","",INDEX(Candidates!$AS$2:$AS$301,MATCH(LARGE(Candidates!$BK$2:$BK$301,$A251),Candidates!$BK$2:$BK$301,0))&amp;"")</f>
        <v/>
      </c>
      <c r="D251" s="34">
        <f>IF($A251="","",INDEX(Candidates!$AD$2:$AD$301,MATCH(LARGE(Candidates!$BK$2:$BK$301,$A251),Candidates!$BK$2:$BK$301,0))&amp;"")</f>
        <v/>
      </c>
      <c r="E251" s="32">
        <f>IF($A251="","",INDEX(Candidates!$BJ$2:$BJ$301,MATCH(LARGE(Candidates!$BK$2:$BK$301,$A251),Candidates!$BK$2:$BK$301,0)))</f>
        <v/>
      </c>
      <c r="F251" s="34">
        <f>IF($A251="","",INDEX(Candidates!$BL$2:$BL$301,MATCH(LARGE(Candidates!$BK$2:$BK$301,$A251),Candidates!$BK$2:$BK$301,0))&amp;"")</f>
        <v/>
      </c>
      <c r="G251" s="34">
        <f>IF($A251="","",INDEX(Candidates!$AV$2:$AV$301,MATCH(LARGE(Candidates!$BK$2:$BK$301,$A251),Candidates!$BK$2:$BK$301,0))&amp;"")</f>
        <v/>
      </c>
      <c r="H251" s="34">
        <f>IF($A251="","",INDEX(Candidates!$AW$2:$AW$301,MATCH(LARGE(Candidates!$BK$2:$BK$301,$A251),Candidates!$BK$2:$BK$301,0))&amp;"")</f>
        <v/>
      </c>
    </row>
    <row r="252">
      <c r="A252" s="32">
        <f>IF(ISNUMBER(LARGE(Candidates!$BK$2:$BK$301,248)),248,"")</f>
        <v/>
      </c>
      <c r="B252" s="33">
        <f>IF($A252="","",INDEX(Candidates!$AR$2:$AR$301,MATCH(LARGE(Candidates!$BK$2:$BK$301,$A252),Candidates!$BK$2:$BK$301,0))&amp;"")</f>
        <v/>
      </c>
      <c r="C252" s="34">
        <f>IF($A252="","",INDEX(Candidates!$AS$2:$AS$301,MATCH(LARGE(Candidates!$BK$2:$BK$301,$A252),Candidates!$BK$2:$BK$301,0))&amp;"")</f>
        <v/>
      </c>
      <c r="D252" s="34">
        <f>IF($A252="","",INDEX(Candidates!$AD$2:$AD$301,MATCH(LARGE(Candidates!$BK$2:$BK$301,$A252),Candidates!$BK$2:$BK$301,0))&amp;"")</f>
        <v/>
      </c>
      <c r="E252" s="32">
        <f>IF($A252="","",INDEX(Candidates!$BJ$2:$BJ$301,MATCH(LARGE(Candidates!$BK$2:$BK$301,$A252),Candidates!$BK$2:$BK$301,0)))</f>
        <v/>
      </c>
      <c r="F252" s="34">
        <f>IF($A252="","",INDEX(Candidates!$BL$2:$BL$301,MATCH(LARGE(Candidates!$BK$2:$BK$301,$A252),Candidates!$BK$2:$BK$301,0))&amp;"")</f>
        <v/>
      </c>
      <c r="G252" s="34">
        <f>IF($A252="","",INDEX(Candidates!$AV$2:$AV$301,MATCH(LARGE(Candidates!$BK$2:$BK$301,$A252),Candidates!$BK$2:$BK$301,0))&amp;"")</f>
        <v/>
      </c>
      <c r="H252" s="34">
        <f>IF($A252="","",INDEX(Candidates!$AW$2:$AW$301,MATCH(LARGE(Candidates!$BK$2:$BK$301,$A252),Candidates!$BK$2:$BK$301,0))&amp;"")</f>
        <v/>
      </c>
    </row>
    <row r="253">
      <c r="A253" s="32">
        <f>IF(ISNUMBER(LARGE(Candidates!$BK$2:$BK$301,249)),249,"")</f>
        <v/>
      </c>
      <c r="B253" s="33">
        <f>IF($A253="","",INDEX(Candidates!$AR$2:$AR$301,MATCH(LARGE(Candidates!$BK$2:$BK$301,$A253),Candidates!$BK$2:$BK$301,0))&amp;"")</f>
        <v/>
      </c>
      <c r="C253" s="34">
        <f>IF($A253="","",INDEX(Candidates!$AS$2:$AS$301,MATCH(LARGE(Candidates!$BK$2:$BK$301,$A253),Candidates!$BK$2:$BK$301,0))&amp;"")</f>
        <v/>
      </c>
      <c r="D253" s="34">
        <f>IF($A253="","",INDEX(Candidates!$AD$2:$AD$301,MATCH(LARGE(Candidates!$BK$2:$BK$301,$A253),Candidates!$BK$2:$BK$301,0))&amp;"")</f>
        <v/>
      </c>
      <c r="E253" s="32">
        <f>IF($A253="","",INDEX(Candidates!$BJ$2:$BJ$301,MATCH(LARGE(Candidates!$BK$2:$BK$301,$A253),Candidates!$BK$2:$BK$301,0)))</f>
        <v/>
      </c>
      <c r="F253" s="34">
        <f>IF($A253="","",INDEX(Candidates!$BL$2:$BL$301,MATCH(LARGE(Candidates!$BK$2:$BK$301,$A253),Candidates!$BK$2:$BK$301,0))&amp;"")</f>
        <v/>
      </c>
      <c r="G253" s="34">
        <f>IF($A253="","",INDEX(Candidates!$AV$2:$AV$301,MATCH(LARGE(Candidates!$BK$2:$BK$301,$A253),Candidates!$BK$2:$BK$301,0))&amp;"")</f>
        <v/>
      </c>
      <c r="H253" s="34">
        <f>IF($A253="","",INDEX(Candidates!$AW$2:$AW$301,MATCH(LARGE(Candidates!$BK$2:$BK$301,$A253),Candidates!$BK$2:$BK$301,0))&amp;"")</f>
        <v/>
      </c>
    </row>
    <row r="254">
      <c r="A254" s="32">
        <f>IF(ISNUMBER(LARGE(Candidates!$BK$2:$BK$301,250)),250,"")</f>
        <v/>
      </c>
      <c r="B254" s="33">
        <f>IF($A254="","",INDEX(Candidates!$AR$2:$AR$301,MATCH(LARGE(Candidates!$BK$2:$BK$301,$A254),Candidates!$BK$2:$BK$301,0))&amp;"")</f>
        <v/>
      </c>
      <c r="C254" s="34">
        <f>IF($A254="","",INDEX(Candidates!$AS$2:$AS$301,MATCH(LARGE(Candidates!$BK$2:$BK$301,$A254),Candidates!$BK$2:$BK$301,0))&amp;"")</f>
        <v/>
      </c>
      <c r="D254" s="34">
        <f>IF($A254="","",INDEX(Candidates!$AD$2:$AD$301,MATCH(LARGE(Candidates!$BK$2:$BK$301,$A254),Candidates!$BK$2:$BK$301,0))&amp;"")</f>
        <v/>
      </c>
      <c r="E254" s="32">
        <f>IF($A254="","",INDEX(Candidates!$BJ$2:$BJ$301,MATCH(LARGE(Candidates!$BK$2:$BK$301,$A254),Candidates!$BK$2:$BK$301,0)))</f>
        <v/>
      </c>
      <c r="F254" s="34">
        <f>IF($A254="","",INDEX(Candidates!$BL$2:$BL$301,MATCH(LARGE(Candidates!$BK$2:$BK$301,$A254),Candidates!$BK$2:$BK$301,0))&amp;"")</f>
        <v/>
      </c>
      <c r="G254" s="34">
        <f>IF($A254="","",INDEX(Candidates!$AV$2:$AV$301,MATCH(LARGE(Candidates!$BK$2:$BK$301,$A254),Candidates!$BK$2:$BK$301,0))&amp;"")</f>
        <v/>
      </c>
      <c r="H254" s="34">
        <f>IF($A254="","",INDEX(Candidates!$AW$2:$AW$301,MATCH(LARGE(Candidates!$BK$2:$BK$301,$A254),Candidates!$BK$2:$BK$301,0))&amp;"")</f>
        <v/>
      </c>
    </row>
    <row r="255">
      <c r="A255" s="32">
        <f>IF(ISNUMBER(LARGE(Candidates!$BK$2:$BK$301,251)),251,"")</f>
        <v/>
      </c>
      <c r="B255" s="33">
        <f>IF($A255="","",INDEX(Candidates!$AR$2:$AR$301,MATCH(LARGE(Candidates!$BK$2:$BK$301,$A255),Candidates!$BK$2:$BK$301,0))&amp;"")</f>
        <v/>
      </c>
      <c r="C255" s="34">
        <f>IF($A255="","",INDEX(Candidates!$AS$2:$AS$301,MATCH(LARGE(Candidates!$BK$2:$BK$301,$A255),Candidates!$BK$2:$BK$301,0))&amp;"")</f>
        <v/>
      </c>
      <c r="D255" s="34">
        <f>IF($A255="","",INDEX(Candidates!$AD$2:$AD$301,MATCH(LARGE(Candidates!$BK$2:$BK$301,$A255),Candidates!$BK$2:$BK$301,0))&amp;"")</f>
        <v/>
      </c>
      <c r="E255" s="32">
        <f>IF($A255="","",INDEX(Candidates!$BJ$2:$BJ$301,MATCH(LARGE(Candidates!$BK$2:$BK$301,$A255),Candidates!$BK$2:$BK$301,0)))</f>
        <v/>
      </c>
      <c r="F255" s="34">
        <f>IF($A255="","",INDEX(Candidates!$BL$2:$BL$301,MATCH(LARGE(Candidates!$BK$2:$BK$301,$A255),Candidates!$BK$2:$BK$301,0))&amp;"")</f>
        <v/>
      </c>
      <c r="G255" s="34">
        <f>IF($A255="","",INDEX(Candidates!$AV$2:$AV$301,MATCH(LARGE(Candidates!$BK$2:$BK$301,$A255),Candidates!$BK$2:$BK$301,0))&amp;"")</f>
        <v/>
      </c>
      <c r="H255" s="34">
        <f>IF($A255="","",INDEX(Candidates!$AW$2:$AW$301,MATCH(LARGE(Candidates!$BK$2:$BK$301,$A255),Candidates!$BK$2:$BK$301,0))&amp;"")</f>
        <v/>
      </c>
    </row>
    <row r="256">
      <c r="A256" s="32">
        <f>IF(ISNUMBER(LARGE(Candidates!$BK$2:$BK$301,252)),252,"")</f>
        <v/>
      </c>
      <c r="B256" s="33">
        <f>IF($A256="","",INDEX(Candidates!$AR$2:$AR$301,MATCH(LARGE(Candidates!$BK$2:$BK$301,$A256),Candidates!$BK$2:$BK$301,0))&amp;"")</f>
        <v/>
      </c>
      <c r="C256" s="34">
        <f>IF($A256="","",INDEX(Candidates!$AS$2:$AS$301,MATCH(LARGE(Candidates!$BK$2:$BK$301,$A256),Candidates!$BK$2:$BK$301,0))&amp;"")</f>
        <v/>
      </c>
      <c r="D256" s="34">
        <f>IF($A256="","",INDEX(Candidates!$AD$2:$AD$301,MATCH(LARGE(Candidates!$BK$2:$BK$301,$A256),Candidates!$BK$2:$BK$301,0))&amp;"")</f>
        <v/>
      </c>
      <c r="E256" s="32">
        <f>IF($A256="","",INDEX(Candidates!$BJ$2:$BJ$301,MATCH(LARGE(Candidates!$BK$2:$BK$301,$A256),Candidates!$BK$2:$BK$301,0)))</f>
        <v/>
      </c>
      <c r="F256" s="34">
        <f>IF($A256="","",INDEX(Candidates!$BL$2:$BL$301,MATCH(LARGE(Candidates!$BK$2:$BK$301,$A256),Candidates!$BK$2:$BK$301,0))&amp;"")</f>
        <v/>
      </c>
      <c r="G256" s="34">
        <f>IF($A256="","",INDEX(Candidates!$AV$2:$AV$301,MATCH(LARGE(Candidates!$BK$2:$BK$301,$A256),Candidates!$BK$2:$BK$301,0))&amp;"")</f>
        <v/>
      </c>
      <c r="H256" s="34">
        <f>IF($A256="","",INDEX(Candidates!$AW$2:$AW$301,MATCH(LARGE(Candidates!$BK$2:$BK$301,$A256),Candidates!$BK$2:$BK$301,0))&amp;"")</f>
        <v/>
      </c>
    </row>
    <row r="257">
      <c r="A257" s="32">
        <f>IF(ISNUMBER(LARGE(Candidates!$BK$2:$BK$301,253)),253,"")</f>
        <v/>
      </c>
      <c r="B257" s="33">
        <f>IF($A257="","",INDEX(Candidates!$AR$2:$AR$301,MATCH(LARGE(Candidates!$BK$2:$BK$301,$A257),Candidates!$BK$2:$BK$301,0))&amp;"")</f>
        <v/>
      </c>
      <c r="C257" s="34">
        <f>IF($A257="","",INDEX(Candidates!$AS$2:$AS$301,MATCH(LARGE(Candidates!$BK$2:$BK$301,$A257),Candidates!$BK$2:$BK$301,0))&amp;"")</f>
        <v/>
      </c>
      <c r="D257" s="34">
        <f>IF($A257="","",INDEX(Candidates!$AD$2:$AD$301,MATCH(LARGE(Candidates!$BK$2:$BK$301,$A257),Candidates!$BK$2:$BK$301,0))&amp;"")</f>
        <v/>
      </c>
      <c r="E257" s="32">
        <f>IF($A257="","",INDEX(Candidates!$BJ$2:$BJ$301,MATCH(LARGE(Candidates!$BK$2:$BK$301,$A257),Candidates!$BK$2:$BK$301,0)))</f>
        <v/>
      </c>
      <c r="F257" s="34">
        <f>IF($A257="","",INDEX(Candidates!$BL$2:$BL$301,MATCH(LARGE(Candidates!$BK$2:$BK$301,$A257),Candidates!$BK$2:$BK$301,0))&amp;"")</f>
        <v/>
      </c>
      <c r="G257" s="34">
        <f>IF($A257="","",INDEX(Candidates!$AV$2:$AV$301,MATCH(LARGE(Candidates!$BK$2:$BK$301,$A257),Candidates!$BK$2:$BK$301,0))&amp;"")</f>
        <v/>
      </c>
      <c r="H257" s="34">
        <f>IF($A257="","",INDEX(Candidates!$AW$2:$AW$301,MATCH(LARGE(Candidates!$BK$2:$BK$301,$A257),Candidates!$BK$2:$BK$301,0))&amp;"")</f>
        <v/>
      </c>
    </row>
    <row r="258">
      <c r="A258" s="32">
        <f>IF(ISNUMBER(LARGE(Candidates!$BK$2:$BK$301,254)),254,"")</f>
        <v/>
      </c>
      <c r="B258" s="33">
        <f>IF($A258="","",INDEX(Candidates!$AR$2:$AR$301,MATCH(LARGE(Candidates!$BK$2:$BK$301,$A258),Candidates!$BK$2:$BK$301,0))&amp;"")</f>
        <v/>
      </c>
      <c r="C258" s="34">
        <f>IF($A258="","",INDEX(Candidates!$AS$2:$AS$301,MATCH(LARGE(Candidates!$BK$2:$BK$301,$A258),Candidates!$BK$2:$BK$301,0))&amp;"")</f>
        <v/>
      </c>
      <c r="D258" s="34">
        <f>IF($A258="","",INDEX(Candidates!$AD$2:$AD$301,MATCH(LARGE(Candidates!$BK$2:$BK$301,$A258),Candidates!$BK$2:$BK$301,0))&amp;"")</f>
        <v/>
      </c>
      <c r="E258" s="32">
        <f>IF($A258="","",INDEX(Candidates!$BJ$2:$BJ$301,MATCH(LARGE(Candidates!$BK$2:$BK$301,$A258),Candidates!$BK$2:$BK$301,0)))</f>
        <v/>
      </c>
      <c r="F258" s="34">
        <f>IF($A258="","",INDEX(Candidates!$BL$2:$BL$301,MATCH(LARGE(Candidates!$BK$2:$BK$301,$A258),Candidates!$BK$2:$BK$301,0))&amp;"")</f>
        <v/>
      </c>
      <c r="G258" s="34">
        <f>IF($A258="","",INDEX(Candidates!$AV$2:$AV$301,MATCH(LARGE(Candidates!$BK$2:$BK$301,$A258),Candidates!$BK$2:$BK$301,0))&amp;"")</f>
        <v/>
      </c>
      <c r="H258" s="34">
        <f>IF($A258="","",INDEX(Candidates!$AW$2:$AW$301,MATCH(LARGE(Candidates!$BK$2:$BK$301,$A258),Candidates!$BK$2:$BK$301,0))&amp;"")</f>
        <v/>
      </c>
    </row>
    <row r="259">
      <c r="A259" s="32">
        <f>IF(ISNUMBER(LARGE(Candidates!$BK$2:$BK$301,255)),255,"")</f>
        <v/>
      </c>
      <c r="B259" s="33">
        <f>IF($A259="","",INDEX(Candidates!$AR$2:$AR$301,MATCH(LARGE(Candidates!$BK$2:$BK$301,$A259),Candidates!$BK$2:$BK$301,0))&amp;"")</f>
        <v/>
      </c>
      <c r="C259" s="34">
        <f>IF($A259="","",INDEX(Candidates!$AS$2:$AS$301,MATCH(LARGE(Candidates!$BK$2:$BK$301,$A259),Candidates!$BK$2:$BK$301,0))&amp;"")</f>
        <v/>
      </c>
      <c r="D259" s="34">
        <f>IF($A259="","",INDEX(Candidates!$AD$2:$AD$301,MATCH(LARGE(Candidates!$BK$2:$BK$301,$A259),Candidates!$BK$2:$BK$301,0))&amp;"")</f>
        <v/>
      </c>
      <c r="E259" s="32">
        <f>IF($A259="","",INDEX(Candidates!$BJ$2:$BJ$301,MATCH(LARGE(Candidates!$BK$2:$BK$301,$A259),Candidates!$BK$2:$BK$301,0)))</f>
        <v/>
      </c>
      <c r="F259" s="34">
        <f>IF($A259="","",INDEX(Candidates!$BL$2:$BL$301,MATCH(LARGE(Candidates!$BK$2:$BK$301,$A259),Candidates!$BK$2:$BK$301,0))&amp;"")</f>
        <v/>
      </c>
      <c r="G259" s="34">
        <f>IF($A259="","",INDEX(Candidates!$AV$2:$AV$301,MATCH(LARGE(Candidates!$BK$2:$BK$301,$A259),Candidates!$BK$2:$BK$301,0))&amp;"")</f>
        <v/>
      </c>
      <c r="H259" s="34">
        <f>IF($A259="","",INDEX(Candidates!$AW$2:$AW$301,MATCH(LARGE(Candidates!$BK$2:$BK$301,$A259),Candidates!$BK$2:$BK$301,0))&amp;"")</f>
        <v/>
      </c>
    </row>
    <row r="260">
      <c r="A260" s="32">
        <f>IF(ISNUMBER(LARGE(Candidates!$BK$2:$BK$301,256)),256,"")</f>
        <v/>
      </c>
      <c r="B260" s="33">
        <f>IF($A260="","",INDEX(Candidates!$AR$2:$AR$301,MATCH(LARGE(Candidates!$BK$2:$BK$301,$A260),Candidates!$BK$2:$BK$301,0))&amp;"")</f>
        <v/>
      </c>
      <c r="C260" s="34">
        <f>IF($A260="","",INDEX(Candidates!$AS$2:$AS$301,MATCH(LARGE(Candidates!$BK$2:$BK$301,$A260),Candidates!$BK$2:$BK$301,0))&amp;"")</f>
        <v/>
      </c>
      <c r="D260" s="34">
        <f>IF($A260="","",INDEX(Candidates!$AD$2:$AD$301,MATCH(LARGE(Candidates!$BK$2:$BK$301,$A260),Candidates!$BK$2:$BK$301,0))&amp;"")</f>
        <v/>
      </c>
      <c r="E260" s="32">
        <f>IF($A260="","",INDEX(Candidates!$BJ$2:$BJ$301,MATCH(LARGE(Candidates!$BK$2:$BK$301,$A260),Candidates!$BK$2:$BK$301,0)))</f>
        <v/>
      </c>
      <c r="F260" s="34">
        <f>IF($A260="","",INDEX(Candidates!$BL$2:$BL$301,MATCH(LARGE(Candidates!$BK$2:$BK$301,$A260),Candidates!$BK$2:$BK$301,0))&amp;"")</f>
        <v/>
      </c>
      <c r="G260" s="34">
        <f>IF($A260="","",INDEX(Candidates!$AV$2:$AV$301,MATCH(LARGE(Candidates!$BK$2:$BK$301,$A260),Candidates!$BK$2:$BK$301,0))&amp;"")</f>
        <v/>
      </c>
      <c r="H260" s="34">
        <f>IF($A260="","",INDEX(Candidates!$AW$2:$AW$301,MATCH(LARGE(Candidates!$BK$2:$BK$301,$A260),Candidates!$BK$2:$BK$301,0))&amp;"")</f>
        <v/>
      </c>
    </row>
    <row r="261">
      <c r="A261" s="32">
        <f>IF(ISNUMBER(LARGE(Candidates!$BK$2:$BK$301,257)),257,"")</f>
        <v/>
      </c>
      <c r="B261" s="33">
        <f>IF($A261="","",INDEX(Candidates!$AR$2:$AR$301,MATCH(LARGE(Candidates!$BK$2:$BK$301,$A261),Candidates!$BK$2:$BK$301,0))&amp;"")</f>
        <v/>
      </c>
      <c r="C261" s="34">
        <f>IF($A261="","",INDEX(Candidates!$AS$2:$AS$301,MATCH(LARGE(Candidates!$BK$2:$BK$301,$A261),Candidates!$BK$2:$BK$301,0))&amp;"")</f>
        <v/>
      </c>
      <c r="D261" s="34">
        <f>IF($A261="","",INDEX(Candidates!$AD$2:$AD$301,MATCH(LARGE(Candidates!$BK$2:$BK$301,$A261),Candidates!$BK$2:$BK$301,0))&amp;"")</f>
        <v/>
      </c>
      <c r="E261" s="32">
        <f>IF($A261="","",INDEX(Candidates!$BJ$2:$BJ$301,MATCH(LARGE(Candidates!$BK$2:$BK$301,$A261),Candidates!$BK$2:$BK$301,0)))</f>
        <v/>
      </c>
      <c r="F261" s="34">
        <f>IF($A261="","",INDEX(Candidates!$BL$2:$BL$301,MATCH(LARGE(Candidates!$BK$2:$BK$301,$A261),Candidates!$BK$2:$BK$301,0))&amp;"")</f>
        <v/>
      </c>
      <c r="G261" s="34">
        <f>IF($A261="","",INDEX(Candidates!$AV$2:$AV$301,MATCH(LARGE(Candidates!$BK$2:$BK$301,$A261),Candidates!$BK$2:$BK$301,0))&amp;"")</f>
        <v/>
      </c>
      <c r="H261" s="34">
        <f>IF($A261="","",INDEX(Candidates!$AW$2:$AW$301,MATCH(LARGE(Candidates!$BK$2:$BK$301,$A261),Candidates!$BK$2:$BK$301,0))&amp;"")</f>
        <v/>
      </c>
    </row>
    <row r="262">
      <c r="A262" s="32">
        <f>IF(ISNUMBER(LARGE(Candidates!$BK$2:$BK$301,258)),258,"")</f>
        <v/>
      </c>
      <c r="B262" s="33">
        <f>IF($A262="","",INDEX(Candidates!$AR$2:$AR$301,MATCH(LARGE(Candidates!$BK$2:$BK$301,$A262),Candidates!$BK$2:$BK$301,0))&amp;"")</f>
        <v/>
      </c>
      <c r="C262" s="34">
        <f>IF($A262="","",INDEX(Candidates!$AS$2:$AS$301,MATCH(LARGE(Candidates!$BK$2:$BK$301,$A262),Candidates!$BK$2:$BK$301,0))&amp;"")</f>
        <v/>
      </c>
      <c r="D262" s="34">
        <f>IF($A262="","",INDEX(Candidates!$AD$2:$AD$301,MATCH(LARGE(Candidates!$BK$2:$BK$301,$A262),Candidates!$BK$2:$BK$301,0))&amp;"")</f>
        <v/>
      </c>
      <c r="E262" s="32">
        <f>IF($A262="","",INDEX(Candidates!$BJ$2:$BJ$301,MATCH(LARGE(Candidates!$BK$2:$BK$301,$A262),Candidates!$BK$2:$BK$301,0)))</f>
        <v/>
      </c>
      <c r="F262" s="34">
        <f>IF($A262="","",INDEX(Candidates!$BL$2:$BL$301,MATCH(LARGE(Candidates!$BK$2:$BK$301,$A262),Candidates!$BK$2:$BK$301,0))&amp;"")</f>
        <v/>
      </c>
      <c r="G262" s="34">
        <f>IF($A262="","",INDEX(Candidates!$AV$2:$AV$301,MATCH(LARGE(Candidates!$BK$2:$BK$301,$A262),Candidates!$BK$2:$BK$301,0))&amp;"")</f>
        <v/>
      </c>
      <c r="H262" s="34">
        <f>IF($A262="","",INDEX(Candidates!$AW$2:$AW$301,MATCH(LARGE(Candidates!$BK$2:$BK$301,$A262),Candidates!$BK$2:$BK$301,0))&amp;"")</f>
        <v/>
      </c>
    </row>
    <row r="263">
      <c r="A263" s="32">
        <f>IF(ISNUMBER(LARGE(Candidates!$BK$2:$BK$301,259)),259,"")</f>
        <v/>
      </c>
      <c r="B263" s="33">
        <f>IF($A263="","",INDEX(Candidates!$AR$2:$AR$301,MATCH(LARGE(Candidates!$BK$2:$BK$301,$A263),Candidates!$BK$2:$BK$301,0))&amp;"")</f>
        <v/>
      </c>
      <c r="C263" s="34">
        <f>IF($A263="","",INDEX(Candidates!$AS$2:$AS$301,MATCH(LARGE(Candidates!$BK$2:$BK$301,$A263),Candidates!$BK$2:$BK$301,0))&amp;"")</f>
        <v/>
      </c>
      <c r="D263" s="34">
        <f>IF($A263="","",INDEX(Candidates!$AD$2:$AD$301,MATCH(LARGE(Candidates!$BK$2:$BK$301,$A263),Candidates!$BK$2:$BK$301,0))&amp;"")</f>
        <v/>
      </c>
      <c r="E263" s="32">
        <f>IF($A263="","",INDEX(Candidates!$BJ$2:$BJ$301,MATCH(LARGE(Candidates!$BK$2:$BK$301,$A263),Candidates!$BK$2:$BK$301,0)))</f>
        <v/>
      </c>
      <c r="F263" s="34">
        <f>IF($A263="","",INDEX(Candidates!$BL$2:$BL$301,MATCH(LARGE(Candidates!$BK$2:$BK$301,$A263),Candidates!$BK$2:$BK$301,0))&amp;"")</f>
        <v/>
      </c>
      <c r="G263" s="34">
        <f>IF($A263="","",INDEX(Candidates!$AV$2:$AV$301,MATCH(LARGE(Candidates!$BK$2:$BK$301,$A263),Candidates!$BK$2:$BK$301,0))&amp;"")</f>
        <v/>
      </c>
      <c r="H263" s="34">
        <f>IF($A263="","",INDEX(Candidates!$AW$2:$AW$301,MATCH(LARGE(Candidates!$BK$2:$BK$301,$A263),Candidates!$BK$2:$BK$301,0))&amp;"")</f>
        <v/>
      </c>
    </row>
    <row r="264">
      <c r="A264" s="32">
        <f>IF(ISNUMBER(LARGE(Candidates!$BK$2:$BK$301,260)),260,"")</f>
        <v/>
      </c>
      <c r="B264" s="33">
        <f>IF($A264="","",INDEX(Candidates!$AR$2:$AR$301,MATCH(LARGE(Candidates!$BK$2:$BK$301,$A264),Candidates!$BK$2:$BK$301,0))&amp;"")</f>
        <v/>
      </c>
      <c r="C264" s="34">
        <f>IF($A264="","",INDEX(Candidates!$AS$2:$AS$301,MATCH(LARGE(Candidates!$BK$2:$BK$301,$A264),Candidates!$BK$2:$BK$301,0))&amp;"")</f>
        <v/>
      </c>
      <c r="D264" s="34">
        <f>IF($A264="","",INDEX(Candidates!$AD$2:$AD$301,MATCH(LARGE(Candidates!$BK$2:$BK$301,$A264),Candidates!$BK$2:$BK$301,0))&amp;"")</f>
        <v/>
      </c>
      <c r="E264" s="32">
        <f>IF($A264="","",INDEX(Candidates!$BJ$2:$BJ$301,MATCH(LARGE(Candidates!$BK$2:$BK$301,$A264),Candidates!$BK$2:$BK$301,0)))</f>
        <v/>
      </c>
      <c r="F264" s="34">
        <f>IF($A264="","",INDEX(Candidates!$BL$2:$BL$301,MATCH(LARGE(Candidates!$BK$2:$BK$301,$A264),Candidates!$BK$2:$BK$301,0))&amp;"")</f>
        <v/>
      </c>
      <c r="G264" s="34">
        <f>IF($A264="","",INDEX(Candidates!$AV$2:$AV$301,MATCH(LARGE(Candidates!$BK$2:$BK$301,$A264),Candidates!$BK$2:$BK$301,0))&amp;"")</f>
        <v/>
      </c>
      <c r="H264" s="34">
        <f>IF($A264="","",INDEX(Candidates!$AW$2:$AW$301,MATCH(LARGE(Candidates!$BK$2:$BK$301,$A264),Candidates!$BK$2:$BK$301,0))&amp;"")</f>
        <v/>
      </c>
    </row>
    <row r="265">
      <c r="A265" s="32">
        <f>IF(ISNUMBER(LARGE(Candidates!$BK$2:$BK$301,261)),261,"")</f>
        <v/>
      </c>
      <c r="B265" s="33">
        <f>IF($A265="","",INDEX(Candidates!$AR$2:$AR$301,MATCH(LARGE(Candidates!$BK$2:$BK$301,$A265),Candidates!$BK$2:$BK$301,0))&amp;"")</f>
        <v/>
      </c>
      <c r="C265" s="34">
        <f>IF($A265="","",INDEX(Candidates!$AS$2:$AS$301,MATCH(LARGE(Candidates!$BK$2:$BK$301,$A265),Candidates!$BK$2:$BK$301,0))&amp;"")</f>
        <v/>
      </c>
      <c r="D265" s="34">
        <f>IF($A265="","",INDEX(Candidates!$AD$2:$AD$301,MATCH(LARGE(Candidates!$BK$2:$BK$301,$A265),Candidates!$BK$2:$BK$301,0))&amp;"")</f>
        <v/>
      </c>
      <c r="E265" s="32">
        <f>IF($A265="","",INDEX(Candidates!$BJ$2:$BJ$301,MATCH(LARGE(Candidates!$BK$2:$BK$301,$A265),Candidates!$BK$2:$BK$301,0)))</f>
        <v/>
      </c>
      <c r="F265" s="34">
        <f>IF($A265="","",INDEX(Candidates!$BL$2:$BL$301,MATCH(LARGE(Candidates!$BK$2:$BK$301,$A265),Candidates!$BK$2:$BK$301,0))&amp;"")</f>
        <v/>
      </c>
      <c r="G265" s="34">
        <f>IF($A265="","",INDEX(Candidates!$AV$2:$AV$301,MATCH(LARGE(Candidates!$BK$2:$BK$301,$A265),Candidates!$BK$2:$BK$301,0))&amp;"")</f>
        <v/>
      </c>
      <c r="H265" s="34">
        <f>IF($A265="","",INDEX(Candidates!$AW$2:$AW$301,MATCH(LARGE(Candidates!$BK$2:$BK$301,$A265),Candidates!$BK$2:$BK$301,0))&amp;"")</f>
        <v/>
      </c>
    </row>
    <row r="266">
      <c r="A266" s="32">
        <f>IF(ISNUMBER(LARGE(Candidates!$BK$2:$BK$301,262)),262,"")</f>
        <v/>
      </c>
      <c r="B266" s="33">
        <f>IF($A266="","",INDEX(Candidates!$AR$2:$AR$301,MATCH(LARGE(Candidates!$BK$2:$BK$301,$A266),Candidates!$BK$2:$BK$301,0))&amp;"")</f>
        <v/>
      </c>
      <c r="C266" s="34">
        <f>IF($A266="","",INDEX(Candidates!$AS$2:$AS$301,MATCH(LARGE(Candidates!$BK$2:$BK$301,$A266),Candidates!$BK$2:$BK$301,0))&amp;"")</f>
        <v/>
      </c>
      <c r="D266" s="34">
        <f>IF($A266="","",INDEX(Candidates!$AD$2:$AD$301,MATCH(LARGE(Candidates!$BK$2:$BK$301,$A266),Candidates!$BK$2:$BK$301,0))&amp;"")</f>
        <v/>
      </c>
      <c r="E266" s="32">
        <f>IF($A266="","",INDEX(Candidates!$BJ$2:$BJ$301,MATCH(LARGE(Candidates!$BK$2:$BK$301,$A266),Candidates!$BK$2:$BK$301,0)))</f>
        <v/>
      </c>
      <c r="F266" s="34">
        <f>IF($A266="","",INDEX(Candidates!$BL$2:$BL$301,MATCH(LARGE(Candidates!$BK$2:$BK$301,$A266),Candidates!$BK$2:$BK$301,0))&amp;"")</f>
        <v/>
      </c>
      <c r="G266" s="34">
        <f>IF($A266="","",INDEX(Candidates!$AV$2:$AV$301,MATCH(LARGE(Candidates!$BK$2:$BK$301,$A266),Candidates!$BK$2:$BK$301,0))&amp;"")</f>
        <v/>
      </c>
      <c r="H266" s="34">
        <f>IF($A266="","",INDEX(Candidates!$AW$2:$AW$301,MATCH(LARGE(Candidates!$BK$2:$BK$301,$A266),Candidates!$BK$2:$BK$301,0))&amp;"")</f>
        <v/>
      </c>
    </row>
    <row r="267">
      <c r="A267" s="32">
        <f>IF(ISNUMBER(LARGE(Candidates!$BK$2:$BK$301,263)),263,"")</f>
        <v/>
      </c>
      <c r="B267" s="33">
        <f>IF($A267="","",INDEX(Candidates!$AR$2:$AR$301,MATCH(LARGE(Candidates!$BK$2:$BK$301,$A267),Candidates!$BK$2:$BK$301,0))&amp;"")</f>
        <v/>
      </c>
      <c r="C267" s="34">
        <f>IF($A267="","",INDEX(Candidates!$AS$2:$AS$301,MATCH(LARGE(Candidates!$BK$2:$BK$301,$A267),Candidates!$BK$2:$BK$301,0))&amp;"")</f>
        <v/>
      </c>
      <c r="D267" s="34">
        <f>IF($A267="","",INDEX(Candidates!$AD$2:$AD$301,MATCH(LARGE(Candidates!$BK$2:$BK$301,$A267),Candidates!$BK$2:$BK$301,0))&amp;"")</f>
        <v/>
      </c>
      <c r="E267" s="32">
        <f>IF($A267="","",INDEX(Candidates!$BJ$2:$BJ$301,MATCH(LARGE(Candidates!$BK$2:$BK$301,$A267),Candidates!$BK$2:$BK$301,0)))</f>
        <v/>
      </c>
      <c r="F267" s="34">
        <f>IF($A267="","",INDEX(Candidates!$BL$2:$BL$301,MATCH(LARGE(Candidates!$BK$2:$BK$301,$A267),Candidates!$BK$2:$BK$301,0))&amp;"")</f>
        <v/>
      </c>
      <c r="G267" s="34">
        <f>IF($A267="","",INDEX(Candidates!$AV$2:$AV$301,MATCH(LARGE(Candidates!$BK$2:$BK$301,$A267),Candidates!$BK$2:$BK$301,0))&amp;"")</f>
        <v/>
      </c>
      <c r="H267" s="34">
        <f>IF($A267="","",INDEX(Candidates!$AW$2:$AW$301,MATCH(LARGE(Candidates!$BK$2:$BK$301,$A267),Candidates!$BK$2:$BK$301,0))&amp;"")</f>
        <v/>
      </c>
    </row>
    <row r="268">
      <c r="A268" s="32">
        <f>IF(ISNUMBER(LARGE(Candidates!$BK$2:$BK$301,264)),264,"")</f>
        <v/>
      </c>
      <c r="B268" s="33">
        <f>IF($A268="","",INDEX(Candidates!$AR$2:$AR$301,MATCH(LARGE(Candidates!$BK$2:$BK$301,$A268),Candidates!$BK$2:$BK$301,0))&amp;"")</f>
        <v/>
      </c>
      <c r="C268" s="34">
        <f>IF($A268="","",INDEX(Candidates!$AS$2:$AS$301,MATCH(LARGE(Candidates!$BK$2:$BK$301,$A268),Candidates!$BK$2:$BK$301,0))&amp;"")</f>
        <v/>
      </c>
      <c r="D268" s="34">
        <f>IF($A268="","",INDEX(Candidates!$AD$2:$AD$301,MATCH(LARGE(Candidates!$BK$2:$BK$301,$A268),Candidates!$BK$2:$BK$301,0))&amp;"")</f>
        <v/>
      </c>
      <c r="E268" s="32">
        <f>IF($A268="","",INDEX(Candidates!$BJ$2:$BJ$301,MATCH(LARGE(Candidates!$BK$2:$BK$301,$A268),Candidates!$BK$2:$BK$301,0)))</f>
        <v/>
      </c>
      <c r="F268" s="34">
        <f>IF($A268="","",INDEX(Candidates!$BL$2:$BL$301,MATCH(LARGE(Candidates!$BK$2:$BK$301,$A268),Candidates!$BK$2:$BK$301,0))&amp;"")</f>
        <v/>
      </c>
      <c r="G268" s="34">
        <f>IF($A268="","",INDEX(Candidates!$AV$2:$AV$301,MATCH(LARGE(Candidates!$BK$2:$BK$301,$A268),Candidates!$BK$2:$BK$301,0))&amp;"")</f>
        <v/>
      </c>
      <c r="H268" s="34">
        <f>IF($A268="","",INDEX(Candidates!$AW$2:$AW$301,MATCH(LARGE(Candidates!$BK$2:$BK$301,$A268),Candidates!$BK$2:$BK$301,0))&amp;"")</f>
        <v/>
      </c>
    </row>
    <row r="269">
      <c r="A269" s="32">
        <f>IF(ISNUMBER(LARGE(Candidates!$BK$2:$BK$301,265)),265,"")</f>
        <v/>
      </c>
      <c r="B269" s="33">
        <f>IF($A269="","",INDEX(Candidates!$AR$2:$AR$301,MATCH(LARGE(Candidates!$BK$2:$BK$301,$A269),Candidates!$BK$2:$BK$301,0))&amp;"")</f>
        <v/>
      </c>
      <c r="C269" s="34">
        <f>IF($A269="","",INDEX(Candidates!$AS$2:$AS$301,MATCH(LARGE(Candidates!$BK$2:$BK$301,$A269),Candidates!$BK$2:$BK$301,0))&amp;"")</f>
        <v/>
      </c>
      <c r="D269" s="34">
        <f>IF($A269="","",INDEX(Candidates!$AD$2:$AD$301,MATCH(LARGE(Candidates!$BK$2:$BK$301,$A269),Candidates!$BK$2:$BK$301,0))&amp;"")</f>
        <v/>
      </c>
      <c r="E269" s="32">
        <f>IF($A269="","",INDEX(Candidates!$BJ$2:$BJ$301,MATCH(LARGE(Candidates!$BK$2:$BK$301,$A269),Candidates!$BK$2:$BK$301,0)))</f>
        <v/>
      </c>
      <c r="F269" s="34">
        <f>IF($A269="","",INDEX(Candidates!$BL$2:$BL$301,MATCH(LARGE(Candidates!$BK$2:$BK$301,$A269),Candidates!$BK$2:$BK$301,0))&amp;"")</f>
        <v/>
      </c>
      <c r="G269" s="34">
        <f>IF($A269="","",INDEX(Candidates!$AV$2:$AV$301,MATCH(LARGE(Candidates!$BK$2:$BK$301,$A269),Candidates!$BK$2:$BK$301,0))&amp;"")</f>
        <v/>
      </c>
      <c r="H269" s="34">
        <f>IF($A269="","",INDEX(Candidates!$AW$2:$AW$301,MATCH(LARGE(Candidates!$BK$2:$BK$301,$A269),Candidates!$BK$2:$BK$301,0))&amp;"")</f>
        <v/>
      </c>
    </row>
    <row r="270">
      <c r="A270" s="32">
        <f>IF(ISNUMBER(LARGE(Candidates!$BK$2:$BK$301,266)),266,"")</f>
        <v/>
      </c>
      <c r="B270" s="33">
        <f>IF($A270="","",INDEX(Candidates!$AR$2:$AR$301,MATCH(LARGE(Candidates!$BK$2:$BK$301,$A270),Candidates!$BK$2:$BK$301,0))&amp;"")</f>
        <v/>
      </c>
      <c r="C270" s="34">
        <f>IF($A270="","",INDEX(Candidates!$AS$2:$AS$301,MATCH(LARGE(Candidates!$BK$2:$BK$301,$A270),Candidates!$BK$2:$BK$301,0))&amp;"")</f>
        <v/>
      </c>
      <c r="D270" s="34">
        <f>IF($A270="","",INDEX(Candidates!$AD$2:$AD$301,MATCH(LARGE(Candidates!$BK$2:$BK$301,$A270),Candidates!$BK$2:$BK$301,0))&amp;"")</f>
        <v/>
      </c>
      <c r="E270" s="32">
        <f>IF($A270="","",INDEX(Candidates!$BJ$2:$BJ$301,MATCH(LARGE(Candidates!$BK$2:$BK$301,$A270),Candidates!$BK$2:$BK$301,0)))</f>
        <v/>
      </c>
      <c r="F270" s="34">
        <f>IF($A270="","",INDEX(Candidates!$BL$2:$BL$301,MATCH(LARGE(Candidates!$BK$2:$BK$301,$A270),Candidates!$BK$2:$BK$301,0))&amp;"")</f>
        <v/>
      </c>
      <c r="G270" s="34">
        <f>IF($A270="","",INDEX(Candidates!$AV$2:$AV$301,MATCH(LARGE(Candidates!$BK$2:$BK$301,$A270),Candidates!$BK$2:$BK$301,0))&amp;"")</f>
        <v/>
      </c>
      <c r="H270" s="34">
        <f>IF($A270="","",INDEX(Candidates!$AW$2:$AW$301,MATCH(LARGE(Candidates!$BK$2:$BK$301,$A270),Candidates!$BK$2:$BK$301,0))&amp;"")</f>
        <v/>
      </c>
    </row>
    <row r="271">
      <c r="A271" s="32">
        <f>IF(ISNUMBER(LARGE(Candidates!$BK$2:$BK$301,267)),267,"")</f>
        <v/>
      </c>
      <c r="B271" s="33">
        <f>IF($A271="","",INDEX(Candidates!$AR$2:$AR$301,MATCH(LARGE(Candidates!$BK$2:$BK$301,$A271),Candidates!$BK$2:$BK$301,0))&amp;"")</f>
        <v/>
      </c>
      <c r="C271" s="34">
        <f>IF($A271="","",INDEX(Candidates!$AS$2:$AS$301,MATCH(LARGE(Candidates!$BK$2:$BK$301,$A271),Candidates!$BK$2:$BK$301,0))&amp;"")</f>
        <v/>
      </c>
      <c r="D271" s="34">
        <f>IF($A271="","",INDEX(Candidates!$AD$2:$AD$301,MATCH(LARGE(Candidates!$BK$2:$BK$301,$A271),Candidates!$BK$2:$BK$301,0))&amp;"")</f>
        <v/>
      </c>
      <c r="E271" s="32">
        <f>IF($A271="","",INDEX(Candidates!$BJ$2:$BJ$301,MATCH(LARGE(Candidates!$BK$2:$BK$301,$A271),Candidates!$BK$2:$BK$301,0)))</f>
        <v/>
      </c>
      <c r="F271" s="34">
        <f>IF($A271="","",INDEX(Candidates!$BL$2:$BL$301,MATCH(LARGE(Candidates!$BK$2:$BK$301,$A271),Candidates!$BK$2:$BK$301,0))&amp;"")</f>
        <v/>
      </c>
      <c r="G271" s="34">
        <f>IF($A271="","",INDEX(Candidates!$AV$2:$AV$301,MATCH(LARGE(Candidates!$BK$2:$BK$301,$A271),Candidates!$BK$2:$BK$301,0))&amp;"")</f>
        <v/>
      </c>
      <c r="H271" s="34">
        <f>IF($A271="","",INDEX(Candidates!$AW$2:$AW$301,MATCH(LARGE(Candidates!$BK$2:$BK$301,$A271),Candidates!$BK$2:$BK$301,0))&amp;"")</f>
        <v/>
      </c>
    </row>
    <row r="272">
      <c r="A272" s="32">
        <f>IF(ISNUMBER(LARGE(Candidates!$BK$2:$BK$301,268)),268,"")</f>
        <v/>
      </c>
      <c r="B272" s="33">
        <f>IF($A272="","",INDEX(Candidates!$AR$2:$AR$301,MATCH(LARGE(Candidates!$BK$2:$BK$301,$A272),Candidates!$BK$2:$BK$301,0))&amp;"")</f>
        <v/>
      </c>
      <c r="C272" s="34">
        <f>IF($A272="","",INDEX(Candidates!$AS$2:$AS$301,MATCH(LARGE(Candidates!$BK$2:$BK$301,$A272),Candidates!$BK$2:$BK$301,0))&amp;"")</f>
        <v/>
      </c>
      <c r="D272" s="34">
        <f>IF($A272="","",INDEX(Candidates!$AD$2:$AD$301,MATCH(LARGE(Candidates!$BK$2:$BK$301,$A272),Candidates!$BK$2:$BK$301,0))&amp;"")</f>
        <v/>
      </c>
      <c r="E272" s="32">
        <f>IF($A272="","",INDEX(Candidates!$BJ$2:$BJ$301,MATCH(LARGE(Candidates!$BK$2:$BK$301,$A272),Candidates!$BK$2:$BK$301,0)))</f>
        <v/>
      </c>
      <c r="F272" s="34">
        <f>IF($A272="","",INDEX(Candidates!$BL$2:$BL$301,MATCH(LARGE(Candidates!$BK$2:$BK$301,$A272),Candidates!$BK$2:$BK$301,0))&amp;"")</f>
        <v/>
      </c>
      <c r="G272" s="34">
        <f>IF($A272="","",INDEX(Candidates!$AV$2:$AV$301,MATCH(LARGE(Candidates!$BK$2:$BK$301,$A272),Candidates!$BK$2:$BK$301,0))&amp;"")</f>
        <v/>
      </c>
      <c r="H272" s="34">
        <f>IF($A272="","",INDEX(Candidates!$AW$2:$AW$301,MATCH(LARGE(Candidates!$BK$2:$BK$301,$A272),Candidates!$BK$2:$BK$301,0))&amp;"")</f>
        <v/>
      </c>
    </row>
    <row r="273">
      <c r="A273" s="32">
        <f>IF(ISNUMBER(LARGE(Candidates!$BK$2:$BK$301,269)),269,"")</f>
        <v/>
      </c>
      <c r="B273" s="33">
        <f>IF($A273="","",INDEX(Candidates!$AR$2:$AR$301,MATCH(LARGE(Candidates!$BK$2:$BK$301,$A273),Candidates!$BK$2:$BK$301,0))&amp;"")</f>
        <v/>
      </c>
      <c r="C273" s="34">
        <f>IF($A273="","",INDEX(Candidates!$AS$2:$AS$301,MATCH(LARGE(Candidates!$BK$2:$BK$301,$A273),Candidates!$BK$2:$BK$301,0))&amp;"")</f>
        <v/>
      </c>
      <c r="D273" s="34">
        <f>IF($A273="","",INDEX(Candidates!$AD$2:$AD$301,MATCH(LARGE(Candidates!$BK$2:$BK$301,$A273),Candidates!$BK$2:$BK$301,0))&amp;"")</f>
        <v/>
      </c>
      <c r="E273" s="32">
        <f>IF($A273="","",INDEX(Candidates!$BJ$2:$BJ$301,MATCH(LARGE(Candidates!$BK$2:$BK$301,$A273),Candidates!$BK$2:$BK$301,0)))</f>
        <v/>
      </c>
      <c r="F273" s="34">
        <f>IF($A273="","",INDEX(Candidates!$BL$2:$BL$301,MATCH(LARGE(Candidates!$BK$2:$BK$301,$A273),Candidates!$BK$2:$BK$301,0))&amp;"")</f>
        <v/>
      </c>
      <c r="G273" s="34">
        <f>IF($A273="","",INDEX(Candidates!$AV$2:$AV$301,MATCH(LARGE(Candidates!$BK$2:$BK$301,$A273),Candidates!$BK$2:$BK$301,0))&amp;"")</f>
        <v/>
      </c>
      <c r="H273" s="34">
        <f>IF($A273="","",INDEX(Candidates!$AW$2:$AW$301,MATCH(LARGE(Candidates!$BK$2:$BK$301,$A273),Candidates!$BK$2:$BK$301,0))&amp;"")</f>
        <v/>
      </c>
    </row>
    <row r="274">
      <c r="A274" s="32">
        <f>IF(ISNUMBER(LARGE(Candidates!$BK$2:$BK$301,270)),270,"")</f>
        <v/>
      </c>
      <c r="B274" s="33">
        <f>IF($A274="","",INDEX(Candidates!$AR$2:$AR$301,MATCH(LARGE(Candidates!$BK$2:$BK$301,$A274),Candidates!$BK$2:$BK$301,0))&amp;"")</f>
        <v/>
      </c>
      <c r="C274" s="34">
        <f>IF($A274="","",INDEX(Candidates!$AS$2:$AS$301,MATCH(LARGE(Candidates!$BK$2:$BK$301,$A274),Candidates!$BK$2:$BK$301,0))&amp;"")</f>
        <v/>
      </c>
      <c r="D274" s="34">
        <f>IF($A274="","",INDEX(Candidates!$AD$2:$AD$301,MATCH(LARGE(Candidates!$BK$2:$BK$301,$A274),Candidates!$BK$2:$BK$301,0))&amp;"")</f>
        <v/>
      </c>
      <c r="E274" s="32">
        <f>IF($A274="","",INDEX(Candidates!$BJ$2:$BJ$301,MATCH(LARGE(Candidates!$BK$2:$BK$301,$A274),Candidates!$BK$2:$BK$301,0)))</f>
        <v/>
      </c>
      <c r="F274" s="34">
        <f>IF($A274="","",INDEX(Candidates!$BL$2:$BL$301,MATCH(LARGE(Candidates!$BK$2:$BK$301,$A274),Candidates!$BK$2:$BK$301,0))&amp;"")</f>
        <v/>
      </c>
      <c r="G274" s="34">
        <f>IF($A274="","",INDEX(Candidates!$AV$2:$AV$301,MATCH(LARGE(Candidates!$BK$2:$BK$301,$A274),Candidates!$BK$2:$BK$301,0))&amp;"")</f>
        <v/>
      </c>
      <c r="H274" s="34">
        <f>IF($A274="","",INDEX(Candidates!$AW$2:$AW$301,MATCH(LARGE(Candidates!$BK$2:$BK$301,$A274),Candidates!$BK$2:$BK$301,0))&amp;"")</f>
        <v/>
      </c>
    </row>
    <row r="275">
      <c r="A275" s="32">
        <f>IF(ISNUMBER(LARGE(Candidates!$BK$2:$BK$301,271)),271,"")</f>
        <v/>
      </c>
      <c r="B275" s="33">
        <f>IF($A275="","",INDEX(Candidates!$AR$2:$AR$301,MATCH(LARGE(Candidates!$BK$2:$BK$301,$A275),Candidates!$BK$2:$BK$301,0))&amp;"")</f>
        <v/>
      </c>
      <c r="C275" s="34">
        <f>IF($A275="","",INDEX(Candidates!$AS$2:$AS$301,MATCH(LARGE(Candidates!$BK$2:$BK$301,$A275),Candidates!$BK$2:$BK$301,0))&amp;"")</f>
        <v/>
      </c>
      <c r="D275" s="34">
        <f>IF($A275="","",INDEX(Candidates!$AD$2:$AD$301,MATCH(LARGE(Candidates!$BK$2:$BK$301,$A275),Candidates!$BK$2:$BK$301,0))&amp;"")</f>
        <v/>
      </c>
      <c r="E275" s="32">
        <f>IF($A275="","",INDEX(Candidates!$BJ$2:$BJ$301,MATCH(LARGE(Candidates!$BK$2:$BK$301,$A275),Candidates!$BK$2:$BK$301,0)))</f>
        <v/>
      </c>
      <c r="F275" s="34">
        <f>IF($A275="","",INDEX(Candidates!$BL$2:$BL$301,MATCH(LARGE(Candidates!$BK$2:$BK$301,$A275),Candidates!$BK$2:$BK$301,0))&amp;"")</f>
        <v/>
      </c>
      <c r="G275" s="34">
        <f>IF($A275="","",INDEX(Candidates!$AV$2:$AV$301,MATCH(LARGE(Candidates!$BK$2:$BK$301,$A275),Candidates!$BK$2:$BK$301,0))&amp;"")</f>
        <v/>
      </c>
      <c r="H275" s="34">
        <f>IF($A275="","",INDEX(Candidates!$AW$2:$AW$301,MATCH(LARGE(Candidates!$BK$2:$BK$301,$A275),Candidates!$BK$2:$BK$301,0))&amp;"")</f>
        <v/>
      </c>
    </row>
    <row r="276">
      <c r="A276" s="32">
        <f>IF(ISNUMBER(LARGE(Candidates!$BK$2:$BK$301,272)),272,"")</f>
        <v/>
      </c>
      <c r="B276" s="33">
        <f>IF($A276="","",INDEX(Candidates!$AR$2:$AR$301,MATCH(LARGE(Candidates!$BK$2:$BK$301,$A276),Candidates!$BK$2:$BK$301,0))&amp;"")</f>
        <v/>
      </c>
      <c r="C276" s="34">
        <f>IF($A276="","",INDEX(Candidates!$AS$2:$AS$301,MATCH(LARGE(Candidates!$BK$2:$BK$301,$A276),Candidates!$BK$2:$BK$301,0))&amp;"")</f>
        <v/>
      </c>
      <c r="D276" s="34">
        <f>IF($A276="","",INDEX(Candidates!$AD$2:$AD$301,MATCH(LARGE(Candidates!$BK$2:$BK$301,$A276),Candidates!$BK$2:$BK$301,0))&amp;"")</f>
        <v/>
      </c>
      <c r="E276" s="32">
        <f>IF($A276="","",INDEX(Candidates!$BJ$2:$BJ$301,MATCH(LARGE(Candidates!$BK$2:$BK$301,$A276),Candidates!$BK$2:$BK$301,0)))</f>
        <v/>
      </c>
      <c r="F276" s="34">
        <f>IF($A276="","",INDEX(Candidates!$BL$2:$BL$301,MATCH(LARGE(Candidates!$BK$2:$BK$301,$A276),Candidates!$BK$2:$BK$301,0))&amp;"")</f>
        <v/>
      </c>
      <c r="G276" s="34">
        <f>IF($A276="","",INDEX(Candidates!$AV$2:$AV$301,MATCH(LARGE(Candidates!$BK$2:$BK$301,$A276),Candidates!$BK$2:$BK$301,0))&amp;"")</f>
        <v/>
      </c>
      <c r="H276" s="34">
        <f>IF($A276="","",INDEX(Candidates!$AW$2:$AW$301,MATCH(LARGE(Candidates!$BK$2:$BK$301,$A276),Candidates!$BK$2:$BK$301,0))&amp;"")</f>
        <v/>
      </c>
    </row>
    <row r="277">
      <c r="A277" s="32">
        <f>IF(ISNUMBER(LARGE(Candidates!$BK$2:$BK$301,273)),273,"")</f>
        <v/>
      </c>
      <c r="B277" s="33">
        <f>IF($A277="","",INDEX(Candidates!$AR$2:$AR$301,MATCH(LARGE(Candidates!$BK$2:$BK$301,$A277),Candidates!$BK$2:$BK$301,0))&amp;"")</f>
        <v/>
      </c>
      <c r="C277" s="34">
        <f>IF($A277="","",INDEX(Candidates!$AS$2:$AS$301,MATCH(LARGE(Candidates!$BK$2:$BK$301,$A277),Candidates!$BK$2:$BK$301,0))&amp;"")</f>
        <v/>
      </c>
      <c r="D277" s="34">
        <f>IF($A277="","",INDEX(Candidates!$AD$2:$AD$301,MATCH(LARGE(Candidates!$BK$2:$BK$301,$A277),Candidates!$BK$2:$BK$301,0))&amp;"")</f>
        <v/>
      </c>
      <c r="E277" s="32">
        <f>IF($A277="","",INDEX(Candidates!$BJ$2:$BJ$301,MATCH(LARGE(Candidates!$BK$2:$BK$301,$A277),Candidates!$BK$2:$BK$301,0)))</f>
        <v/>
      </c>
      <c r="F277" s="34">
        <f>IF($A277="","",INDEX(Candidates!$BL$2:$BL$301,MATCH(LARGE(Candidates!$BK$2:$BK$301,$A277),Candidates!$BK$2:$BK$301,0))&amp;"")</f>
        <v/>
      </c>
      <c r="G277" s="34">
        <f>IF($A277="","",INDEX(Candidates!$AV$2:$AV$301,MATCH(LARGE(Candidates!$BK$2:$BK$301,$A277),Candidates!$BK$2:$BK$301,0))&amp;"")</f>
        <v/>
      </c>
      <c r="H277" s="34">
        <f>IF($A277="","",INDEX(Candidates!$AW$2:$AW$301,MATCH(LARGE(Candidates!$BK$2:$BK$301,$A277),Candidates!$BK$2:$BK$301,0))&amp;"")</f>
        <v/>
      </c>
    </row>
    <row r="278">
      <c r="A278" s="32">
        <f>IF(ISNUMBER(LARGE(Candidates!$BK$2:$BK$301,274)),274,"")</f>
        <v/>
      </c>
      <c r="B278" s="33">
        <f>IF($A278="","",INDEX(Candidates!$AR$2:$AR$301,MATCH(LARGE(Candidates!$BK$2:$BK$301,$A278),Candidates!$BK$2:$BK$301,0))&amp;"")</f>
        <v/>
      </c>
      <c r="C278" s="34">
        <f>IF($A278="","",INDEX(Candidates!$AS$2:$AS$301,MATCH(LARGE(Candidates!$BK$2:$BK$301,$A278),Candidates!$BK$2:$BK$301,0))&amp;"")</f>
        <v/>
      </c>
      <c r="D278" s="34">
        <f>IF($A278="","",INDEX(Candidates!$AD$2:$AD$301,MATCH(LARGE(Candidates!$BK$2:$BK$301,$A278),Candidates!$BK$2:$BK$301,0))&amp;"")</f>
        <v/>
      </c>
      <c r="E278" s="32">
        <f>IF($A278="","",INDEX(Candidates!$BJ$2:$BJ$301,MATCH(LARGE(Candidates!$BK$2:$BK$301,$A278),Candidates!$BK$2:$BK$301,0)))</f>
        <v/>
      </c>
      <c r="F278" s="34">
        <f>IF($A278="","",INDEX(Candidates!$BL$2:$BL$301,MATCH(LARGE(Candidates!$BK$2:$BK$301,$A278),Candidates!$BK$2:$BK$301,0))&amp;"")</f>
        <v/>
      </c>
      <c r="G278" s="34">
        <f>IF($A278="","",INDEX(Candidates!$AV$2:$AV$301,MATCH(LARGE(Candidates!$BK$2:$BK$301,$A278),Candidates!$BK$2:$BK$301,0))&amp;"")</f>
        <v/>
      </c>
      <c r="H278" s="34">
        <f>IF($A278="","",INDEX(Candidates!$AW$2:$AW$301,MATCH(LARGE(Candidates!$BK$2:$BK$301,$A278),Candidates!$BK$2:$BK$301,0))&amp;"")</f>
        <v/>
      </c>
    </row>
    <row r="279">
      <c r="A279" s="32">
        <f>IF(ISNUMBER(LARGE(Candidates!$BK$2:$BK$301,275)),275,"")</f>
        <v/>
      </c>
      <c r="B279" s="33">
        <f>IF($A279="","",INDEX(Candidates!$AR$2:$AR$301,MATCH(LARGE(Candidates!$BK$2:$BK$301,$A279),Candidates!$BK$2:$BK$301,0))&amp;"")</f>
        <v/>
      </c>
      <c r="C279" s="34">
        <f>IF($A279="","",INDEX(Candidates!$AS$2:$AS$301,MATCH(LARGE(Candidates!$BK$2:$BK$301,$A279),Candidates!$BK$2:$BK$301,0))&amp;"")</f>
        <v/>
      </c>
      <c r="D279" s="34">
        <f>IF($A279="","",INDEX(Candidates!$AD$2:$AD$301,MATCH(LARGE(Candidates!$BK$2:$BK$301,$A279),Candidates!$BK$2:$BK$301,0))&amp;"")</f>
        <v/>
      </c>
      <c r="E279" s="32">
        <f>IF($A279="","",INDEX(Candidates!$BJ$2:$BJ$301,MATCH(LARGE(Candidates!$BK$2:$BK$301,$A279),Candidates!$BK$2:$BK$301,0)))</f>
        <v/>
      </c>
      <c r="F279" s="34">
        <f>IF($A279="","",INDEX(Candidates!$BL$2:$BL$301,MATCH(LARGE(Candidates!$BK$2:$BK$301,$A279),Candidates!$BK$2:$BK$301,0))&amp;"")</f>
        <v/>
      </c>
      <c r="G279" s="34">
        <f>IF($A279="","",INDEX(Candidates!$AV$2:$AV$301,MATCH(LARGE(Candidates!$BK$2:$BK$301,$A279),Candidates!$BK$2:$BK$301,0))&amp;"")</f>
        <v/>
      </c>
      <c r="H279" s="34">
        <f>IF($A279="","",INDEX(Candidates!$AW$2:$AW$301,MATCH(LARGE(Candidates!$BK$2:$BK$301,$A279),Candidates!$BK$2:$BK$301,0))&amp;"")</f>
        <v/>
      </c>
    </row>
    <row r="280">
      <c r="A280" s="32">
        <f>IF(ISNUMBER(LARGE(Candidates!$BK$2:$BK$301,276)),276,"")</f>
        <v/>
      </c>
      <c r="B280" s="33">
        <f>IF($A280="","",INDEX(Candidates!$AR$2:$AR$301,MATCH(LARGE(Candidates!$BK$2:$BK$301,$A280),Candidates!$BK$2:$BK$301,0))&amp;"")</f>
        <v/>
      </c>
      <c r="C280" s="34">
        <f>IF($A280="","",INDEX(Candidates!$AS$2:$AS$301,MATCH(LARGE(Candidates!$BK$2:$BK$301,$A280),Candidates!$BK$2:$BK$301,0))&amp;"")</f>
        <v/>
      </c>
      <c r="D280" s="34">
        <f>IF($A280="","",INDEX(Candidates!$AD$2:$AD$301,MATCH(LARGE(Candidates!$BK$2:$BK$301,$A280),Candidates!$BK$2:$BK$301,0))&amp;"")</f>
        <v/>
      </c>
      <c r="E280" s="32">
        <f>IF($A280="","",INDEX(Candidates!$BJ$2:$BJ$301,MATCH(LARGE(Candidates!$BK$2:$BK$301,$A280),Candidates!$BK$2:$BK$301,0)))</f>
        <v/>
      </c>
      <c r="F280" s="34">
        <f>IF($A280="","",INDEX(Candidates!$BL$2:$BL$301,MATCH(LARGE(Candidates!$BK$2:$BK$301,$A280),Candidates!$BK$2:$BK$301,0))&amp;"")</f>
        <v/>
      </c>
      <c r="G280" s="34">
        <f>IF($A280="","",INDEX(Candidates!$AV$2:$AV$301,MATCH(LARGE(Candidates!$BK$2:$BK$301,$A280),Candidates!$BK$2:$BK$301,0))&amp;"")</f>
        <v/>
      </c>
      <c r="H280" s="34">
        <f>IF($A280="","",INDEX(Candidates!$AW$2:$AW$301,MATCH(LARGE(Candidates!$BK$2:$BK$301,$A280),Candidates!$BK$2:$BK$301,0))&amp;"")</f>
        <v/>
      </c>
    </row>
    <row r="281">
      <c r="A281" s="32">
        <f>IF(ISNUMBER(LARGE(Candidates!$BK$2:$BK$301,277)),277,"")</f>
        <v/>
      </c>
      <c r="B281" s="33">
        <f>IF($A281="","",INDEX(Candidates!$AR$2:$AR$301,MATCH(LARGE(Candidates!$BK$2:$BK$301,$A281),Candidates!$BK$2:$BK$301,0))&amp;"")</f>
        <v/>
      </c>
      <c r="C281" s="34">
        <f>IF($A281="","",INDEX(Candidates!$AS$2:$AS$301,MATCH(LARGE(Candidates!$BK$2:$BK$301,$A281),Candidates!$BK$2:$BK$301,0))&amp;"")</f>
        <v/>
      </c>
      <c r="D281" s="34">
        <f>IF($A281="","",INDEX(Candidates!$AD$2:$AD$301,MATCH(LARGE(Candidates!$BK$2:$BK$301,$A281),Candidates!$BK$2:$BK$301,0))&amp;"")</f>
        <v/>
      </c>
      <c r="E281" s="32">
        <f>IF($A281="","",INDEX(Candidates!$BJ$2:$BJ$301,MATCH(LARGE(Candidates!$BK$2:$BK$301,$A281),Candidates!$BK$2:$BK$301,0)))</f>
        <v/>
      </c>
      <c r="F281" s="34">
        <f>IF($A281="","",INDEX(Candidates!$BL$2:$BL$301,MATCH(LARGE(Candidates!$BK$2:$BK$301,$A281),Candidates!$BK$2:$BK$301,0))&amp;"")</f>
        <v/>
      </c>
      <c r="G281" s="34">
        <f>IF($A281="","",INDEX(Candidates!$AV$2:$AV$301,MATCH(LARGE(Candidates!$BK$2:$BK$301,$A281),Candidates!$BK$2:$BK$301,0))&amp;"")</f>
        <v/>
      </c>
      <c r="H281" s="34">
        <f>IF($A281="","",INDEX(Candidates!$AW$2:$AW$301,MATCH(LARGE(Candidates!$BK$2:$BK$301,$A281),Candidates!$BK$2:$BK$301,0))&amp;"")</f>
        <v/>
      </c>
    </row>
    <row r="282">
      <c r="A282" s="32">
        <f>IF(ISNUMBER(LARGE(Candidates!$BK$2:$BK$301,278)),278,"")</f>
        <v/>
      </c>
      <c r="B282" s="33">
        <f>IF($A282="","",INDEX(Candidates!$AR$2:$AR$301,MATCH(LARGE(Candidates!$BK$2:$BK$301,$A282),Candidates!$BK$2:$BK$301,0))&amp;"")</f>
        <v/>
      </c>
      <c r="C282" s="34">
        <f>IF($A282="","",INDEX(Candidates!$AS$2:$AS$301,MATCH(LARGE(Candidates!$BK$2:$BK$301,$A282),Candidates!$BK$2:$BK$301,0))&amp;"")</f>
        <v/>
      </c>
      <c r="D282" s="34">
        <f>IF($A282="","",INDEX(Candidates!$AD$2:$AD$301,MATCH(LARGE(Candidates!$BK$2:$BK$301,$A282),Candidates!$BK$2:$BK$301,0))&amp;"")</f>
        <v/>
      </c>
      <c r="E282" s="32">
        <f>IF($A282="","",INDEX(Candidates!$BJ$2:$BJ$301,MATCH(LARGE(Candidates!$BK$2:$BK$301,$A282),Candidates!$BK$2:$BK$301,0)))</f>
        <v/>
      </c>
      <c r="F282" s="34">
        <f>IF($A282="","",INDEX(Candidates!$BL$2:$BL$301,MATCH(LARGE(Candidates!$BK$2:$BK$301,$A282),Candidates!$BK$2:$BK$301,0))&amp;"")</f>
        <v/>
      </c>
      <c r="G282" s="34">
        <f>IF($A282="","",INDEX(Candidates!$AV$2:$AV$301,MATCH(LARGE(Candidates!$BK$2:$BK$301,$A282),Candidates!$BK$2:$BK$301,0))&amp;"")</f>
        <v/>
      </c>
      <c r="H282" s="34">
        <f>IF($A282="","",INDEX(Candidates!$AW$2:$AW$301,MATCH(LARGE(Candidates!$BK$2:$BK$301,$A282),Candidates!$BK$2:$BK$301,0))&amp;"")</f>
        <v/>
      </c>
    </row>
    <row r="283">
      <c r="A283" s="32">
        <f>IF(ISNUMBER(LARGE(Candidates!$BK$2:$BK$301,279)),279,"")</f>
        <v/>
      </c>
      <c r="B283" s="33">
        <f>IF($A283="","",INDEX(Candidates!$AR$2:$AR$301,MATCH(LARGE(Candidates!$BK$2:$BK$301,$A283),Candidates!$BK$2:$BK$301,0))&amp;"")</f>
        <v/>
      </c>
      <c r="C283" s="34">
        <f>IF($A283="","",INDEX(Candidates!$AS$2:$AS$301,MATCH(LARGE(Candidates!$BK$2:$BK$301,$A283),Candidates!$BK$2:$BK$301,0))&amp;"")</f>
        <v/>
      </c>
      <c r="D283" s="34">
        <f>IF($A283="","",INDEX(Candidates!$AD$2:$AD$301,MATCH(LARGE(Candidates!$BK$2:$BK$301,$A283),Candidates!$BK$2:$BK$301,0))&amp;"")</f>
        <v/>
      </c>
      <c r="E283" s="32">
        <f>IF($A283="","",INDEX(Candidates!$BJ$2:$BJ$301,MATCH(LARGE(Candidates!$BK$2:$BK$301,$A283),Candidates!$BK$2:$BK$301,0)))</f>
        <v/>
      </c>
      <c r="F283" s="34">
        <f>IF($A283="","",INDEX(Candidates!$BL$2:$BL$301,MATCH(LARGE(Candidates!$BK$2:$BK$301,$A283),Candidates!$BK$2:$BK$301,0))&amp;"")</f>
        <v/>
      </c>
      <c r="G283" s="34">
        <f>IF($A283="","",INDEX(Candidates!$AV$2:$AV$301,MATCH(LARGE(Candidates!$BK$2:$BK$301,$A283),Candidates!$BK$2:$BK$301,0))&amp;"")</f>
        <v/>
      </c>
      <c r="H283" s="34">
        <f>IF($A283="","",INDEX(Candidates!$AW$2:$AW$301,MATCH(LARGE(Candidates!$BK$2:$BK$301,$A283),Candidates!$BK$2:$BK$301,0))&amp;"")</f>
        <v/>
      </c>
    </row>
    <row r="284">
      <c r="A284" s="32">
        <f>IF(ISNUMBER(LARGE(Candidates!$BK$2:$BK$301,280)),280,"")</f>
        <v/>
      </c>
      <c r="B284" s="33">
        <f>IF($A284="","",INDEX(Candidates!$AR$2:$AR$301,MATCH(LARGE(Candidates!$BK$2:$BK$301,$A284),Candidates!$BK$2:$BK$301,0))&amp;"")</f>
        <v/>
      </c>
      <c r="C284" s="34">
        <f>IF($A284="","",INDEX(Candidates!$AS$2:$AS$301,MATCH(LARGE(Candidates!$BK$2:$BK$301,$A284),Candidates!$BK$2:$BK$301,0))&amp;"")</f>
        <v/>
      </c>
      <c r="D284" s="34">
        <f>IF($A284="","",INDEX(Candidates!$AD$2:$AD$301,MATCH(LARGE(Candidates!$BK$2:$BK$301,$A284),Candidates!$BK$2:$BK$301,0))&amp;"")</f>
        <v/>
      </c>
      <c r="E284" s="32">
        <f>IF($A284="","",INDEX(Candidates!$BJ$2:$BJ$301,MATCH(LARGE(Candidates!$BK$2:$BK$301,$A284),Candidates!$BK$2:$BK$301,0)))</f>
        <v/>
      </c>
      <c r="F284" s="34">
        <f>IF($A284="","",INDEX(Candidates!$BL$2:$BL$301,MATCH(LARGE(Candidates!$BK$2:$BK$301,$A284),Candidates!$BK$2:$BK$301,0))&amp;"")</f>
        <v/>
      </c>
      <c r="G284" s="34">
        <f>IF($A284="","",INDEX(Candidates!$AV$2:$AV$301,MATCH(LARGE(Candidates!$BK$2:$BK$301,$A284),Candidates!$BK$2:$BK$301,0))&amp;"")</f>
        <v/>
      </c>
      <c r="H284" s="34">
        <f>IF($A284="","",INDEX(Candidates!$AW$2:$AW$301,MATCH(LARGE(Candidates!$BK$2:$BK$301,$A284),Candidates!$BK$2:$BK$301,0))&amp;"")</f>
        <v/>
      </c>
    </row>
    <row r="285">
      <c r="A285" s="32">
        <f>IF(ISNUMBER(LARGE(Candidates!$BK$2:$BK$301,281)),281,"")</f>
        <v/>
      </c>
      <c r="B285" s="33">
        <f>IF($A285="","",INDEX(Candidates!$AR$2:$AR$301,MATCH(LARGE(Candidates!$BK$2:$BK$301,$A285),Candidates!$BK$2:$BK$301,0))&amp;"")</f>
        <v/>
      </c>
      <c r="C285" s="34">
        <f>IF($A285="","",INDEX(Candidates!$AS$2:$AS$301,MATCH(LARGE(Candidates!$BK$2:$BK$301,$A285),Candidates!$BK$2:$BK$301,0))&amp;"")</f>
        <v/>
      </c>
      <c r="D285" s="34">
        <f>IF($A285="","",INDEX(Candidates!$AD$2:$AD$301,MATCH(LARGE(Candidates!$BK$2:$BK$301,$A285),Candidates!$BK$2:$BK$301,0))&amp;"")</f>
        <v/>
      </c>
      <c r="E285" s="32">
        <f>IF($A285="","",INDEX(Candidates!$BJ$2:$BJ$301,MATCH(LARGE(Candidates!$BK$2:$BK$301,$A285),Candidates!$BK$2:$BK$301,0)))</f>
        <v/>
      </c>
      <c r="F285" s="34">
        <f>IF($A285="","",INDEX(Candidates!$BL$2:$BL$301,MATCH(LARGE(Candidates!$BK$2:$BK$301,$A285),Candidates!$BK$2:$BK$301,0))&amp;"")</f>
        <v/>
      </c>
      <c r="G285" s="34">
        <f>IF($A285="","",INDEX(Candidates!$AV$2:$AV$301,MATCH(LARGE(Candidates!$BK$2:$BK$301,$A285),Candidates!$BK$2:$BK$301,0))&amp;"")</f>
        <v/>
      </c>
      <c r="H285" s="34">
        <f>IF($A285="","",INDEX(Candidates!$AW$2:$AW$301,MATCH(LARGE(Candidates!$BK$2:$BK$301,$A285),Candidates!$BK$2:$BK$301,0))&amp;"")</f>
        <v/>
      </c>
    </row>
    <row r="286">
      <c r="A286" s="32">
        <f>IF(ISNUMBER(LARGE(Candidates!$BK$2:$BK$301,282)),282,"")</f>
        <v/>
      </c>
      <c r="B286" s="33">
        <f>IF($A286="","",INDEX(Candidates!$AR$2:$AR$301,MATCH(LARGE(Candidates!$BK$2:$BK$301,$A286),Candidates!$BK$2:$BK$301,0))&amp;"")</f>
        <v/>
      </c>
      <c r="C286" s="34">
        <f>IF($A286="","",INDEX(Candidates!$AS$2:$AS$301,MATCH(LARGE(Candidates!$BK$2:$BK$301,$A286),Candidates!$BK$2:$BK$301,0))&amp;"")</f>
        <v/>
      </c>
      <c r="D286" s="34">
        <f>IF($A286="","",INDEX(Candidates!$AD$2:$AD$301,MATCH(LARGE(Candidates!$BK$2:$BK$301,$A286),Candidates!$BK$2:$BK$301,0))&amp;"")</f>
        <v/>
      </c>
      <c r="E286" s="32">
        <f>IF($A286="","",INDEX(Candidates!$BJ$2:$BJ$301,MATCH(LARGE(Candidates!$BK$2:$BK$301,$A286),Candidates!$BK$2:$BK$301,0)))</f>
        <v/>
      </c>
      <c r="F286" s="34">
        <f>IF($A286="","",INDEX(Candidates!$BL$2:$BL$301,MATCH(LARGE(Candidates!$BK$2:$BK$301,$A286),Candidates!$BK$2:$BK$301,0))&amp;"")</f>
        <v/>
      </c>
      <c r="G286" s="34">
        <f>IF($A286="","",INDEX(Candidates!$AV$2:$AV$301,MATCH(LARGE(Candidates!$BK$2:$BK$301,$A286),Candidates!$BK$2:$BK$301,0))&amp;"")</f>
        <v/>
      </c>
      <c r="H286" s="34">
        <f>IF($A286="","",INDEX(Candidates!$AW$2:$AW$301,MATCH(LARGE(Candidates!$BK$2:$BK$301,$A286),Candidates!$BK$2:$BK$301,0))&amp;"")</f>
        <v/>
      </c>
    </row>
    <row r="287">
      <c r="A287" s="32">
        <f>IF(ISNUMBER(LARGE(Candidates!$BK$2:$BK$301,283)),283,"")</f>
        <v/>
      </c>
      <c r="B287" s="33">
        <f>IF($A287="","",INDEX(Candidates!$AR$2:$AR$301,MATCH(LARGE(Candidates!$BK$2:$BK$301,$A287),Candidates!$BK$2:$BK$301,0))&amp;"")</f>
        <v/>
      </c>
      <c r="C287" s="34">
        <f>IF($A287="","",INDEX(Candidates!$AS$2:$AS$301,MATCH(LARGE(Candidates!$BK$2:$BK$301,$A287),Candidates!$BK$2:$BK$301,0))&amp;"")</f>
        <v/>
      </c>
      <c r="D287" s="34">
        <f>IF($A287="","",INDEX(Candidates!$AD$2:$AD$301,MATCH(LARGE(Candidates!$BK$2:$BK$301,$A287),Candidates!$BK$2:$BK$301,0))&amp;"")</f>
        <v/>
      </c>
      <c r="E287" s="32">
        <f>IF($A287="","",INDEX(Candidates!$BJ$2:$BJ$301,MATCH(LARGE(Candidates!$BK$2:$BK$301,$A287),Candidates!$BK$2:$BK$301,0)))</f>
        <v/>
      </c>
      <c r="F287" s="34">
        <f>IF($A287="","",INDEX(Candidates!$BL$2:$BL$301,MATCH(LARGE(Candidates!$BK$2:$BK$301,$A287),Candidates!$BK$2:$BK$301,0))&amp;"")</f>
        <v/>
      </c>
      <c r="G287" s="34">
        <f>IF($A287="","",INDEX(Candidates!$AV$2:$AV$301,MATCH(LARGE(Candidates!$BK$2:$BK$301,$A287),Candidates!$BK$2:$BK$301,0))&amp;"")</f>
        <v/>
      </c>
      <c r="H287" s="34">
        <f>IF($A287="","",INDEX(Candidates!$AW$2:$AW$301,MATCH(LARGE(Candidates!$BK$2:$BK$301,$A287),Candidates!$BK$2:$BK$301,0))&amp;"")</f>
        <v/>
      </c>
    </row>
    <row r="288">
      <c r="A288" s="32">
        <f>IF(ISNUMBER(LARGE(Candidates!$BK$2:$BK$301,284)),284,"")</f>
        <v/>
      </c>
      <c r="B288" s="33">
        <f>IF($A288="","",INDEX(Candidates!$AR$2:$AR$301,MATCH(LARGE(Candidates!$BK$2:$BK$301,$A288),Candidates!$BK$2:$BK$301,0))&amp;"")</f>
        <v/>
      </c>
      <c r="C288" s="34">
        <f>IF($A288="","",INDEX(Candidates!$AS$2:$AS$301,MATCH(LARGE(Candidates!$BK$2:$BK$301,$A288),Candidates!$BK$2:$BK$301,0))&amp;"")</f>
        <v/>
      </c>
      <c r="D288" s="34">
        <f>IF($A288="","",INDEX(Candidates!$AD$2:$AD$301,MATCH(LARGE(Candidates!$BK$2:$BK$301,$A288),Candidates!$BK$2:$BK$301,0))&amp;"")</f>
        <v/>
      </c>
      <c r="E288" s="32">
        <f>IF($A288="","",INDEX(Candidates!$BJ$2:$BJ$301,MATCH(LARGE(Candidates!$BK$2:$BK$301,$A288),Candidates!$BK$2:$BK$301,0)))</f>
        <v/>
      </c>
      <c r="F288" s="34">
        <f>IF($A288="","",INDEX(Candidates!$BL$2:$BL$301,MATCH(LARGE(Candidates!$BK$2:$BK$301,$A288),Candidates!$BK$2:$BK$301,0))&amp;"")</f>
        <v/>
      </c>
      <c r="G288" s="34">
        <f>IF($A288="","",INDEX(Candidates!$AV$2:$AV$301,MATCH(LARGE(Candidates!$BK$2:$BK$301,$A288),Candidates!$BK$2:$BK$301,0))&amp;"")</f>
        <v/>
      </c>
      <c r="H288" s="34">
        <f>IF($A288="","",INDEX(Candidates!$AW$2:$AW$301,MATCH(LARGE(Candidates!$BK$2:$BK$301,$A288),Candidates!$BK$2:$BK$301,0))&amp;"")</f>
        <v/>
      </c>
    </row>
    <row r="289">
      <c r="A289" s="32">
        <f>IF(ISNUMBER(LARGE(Candidates!$BK$2:$BK$301,285)),285,"")</f>
        <v/>
      </c>
      <c r="B289" s="33">
        <f>IF($A289="","",INDEX(Candidates!$AR$2:$AR$301,MATCH(LARGE(Candidates!$BK$2:$BK$301,$A289),Candidates!$BK$2:$BK$301,0))&amp;"")</f>
        <v/>
      </c>
      <c r="C289" s="34">
        <f>IF($A289="","",INDEX(Candidates!$AS$2:$AS$301,MATCH(LARGE(Candidates!$BK$2:$BK$301,$A289),Candidates!$BK$2:$BK$301,0))&amp;"")</f>
        <v/>
      </c>
      <c r="D289" s="34">
        <f>IF($A289="","",INDEX(Candidates!$AD$2:$AD$301,MATCH(LARGE(Candidates!$BK$2:$BK$301,$A289),Candidates!$BK$2:$BK$301,0))&amp;"")</f>
        <v/>
      </c>
      <c r="E289" s="32">
        <f>IF($A289="","",INDEX(Candidates!$BJ$2:$BJ$301,MATCH(LARGE(Candidates!$BK$2:$BK$301,$A289),Candidates!$BK$2:$BK$301,0)))</f>
        <v/>
      </c>
      <c r="F289" s="34">
        <f>IF($A289="","",INDEX(Candidates!$BL$2:$BL$301,MATCH(LARGE(Candidates!$BK$2:$BK$301,$A289),Candidates!$BK$2:$BK$301,0))&amp;"")</f>
        <v/>
      </c>
      <c r="G289" s="34">
        <f>IF($A289="","",INDEX(Candidates!$AV$2:$AV$301,MATCH(LARGE(Candidates!$BK$2:$BK$301,$A289),Candidates!$BK$2:$BK$301,0))&amp;"")</f>
        <v/>
      </c>
      <c r="H289" s="34">
        <f>IF($A289="","",INDEX(Candidates!$AW$2:$AW$301,MATCH(LARGE(Candidates!$BK$2:$BK$301,$A289),Candidates!$BK$2:$BK$301,0))&amp;"")</f>
        <v/>
      </c>
    </row>
    <row r="290">
      <c r="A290" s="32">
        <f>IF(ISNUMBER(LARGE(Candidates!$BK$2:$BK$301,286)),286,"")</f>
        <v/>
      </c>
      <c r="B290" s="33">
        <f>IF($A290="","",INDEX(Candidates!$AR$2:$AR$301,MATCH(LARGE(Candidates!$BK$2:$BK$301,$A290),Candidates!$BK$2:$BK$301,0))&amp;"")</f>
        <v/>
      </c>
      <c r="C290" s="34">
        <f>IF($A290="","",INDEX(Candidates!$AS$2:$AS$301,MATCH(LARGE(Candidates!$BK$2:$BK$301,$A290),Candidates!$BK$2:$BK$301,0))&amp;"")</f>
        <v/>
      </c>
      <c r="D290" s="34">
        <f>IF($A290="","",INDEX(Candidates!$AD$2:$AD$301,MATCH(LARGE(Candidates!$BK$2:$BK$301,$A290),Candidates!$BK$2:$BK$301,0))&amp;"")</f>
        <v/>
      </c>
      <c r="E290" s="32">
        <f>IF($A290="","",INDEX(Candidates!$BJ$2:$BJ$301,MATCH(LARGE(Candidates!$BK$2:$BK$301,$A290),Candidates!$BK$2:$BK$301,0)))</f>
        <v/>
      </c>
      <c r="F290" s="34">
        <f>IF($A290="","",INDEX(Candidates!$BL$2:$BL$301,MATCH(LARGE(Candidates!$BK$2:$BK$301,$A290),Candidates!$BK$2:$BK$301,0))&amp;"")</f>
        <v/>
      </c>
      <c r="G290" s="34">
        <f>IF($A290="","",INDEX(Candidates!$AV$2:$AV$301,MATCH(LARGE(Candidates!$BK$2:$BK$301,$A290),Candidates!$BK$2:$BK$301,0))&amp;"")</f>
        <v/>
      </c>
      <c r="H290" s="34">
        <f>IF($A290="","",INDEX(Candidates!$AW$2:$AW$301,MATCH(LARGE(Candidates!$BK$2:$BK$301,$A290),Candidates!$BK$2:$BK$301,0))&amp;"")</f>
        <v/>
      </c>
    </row>
    <row r="291">
      <c r="A291" s="32">
        <f>IF(ISNUMBER(LARGE(Candidates!$BK$2:$BK$301,287)),287,"")</f>
        <v/>
      </c>
      <c r="B291" s="33">
        <f>IF($A291="","",INDEX(Candidates!$AR$2:$AR$301,MATCH(LARGE(Candidates!$BK$2:$BK$301,$A291),Candidates!$BK$2:$BK$301,0))&amp;"")</f>
        <v/>
      </c>
      <c r="C291" s="34">
        <f>IF($A291="","",INDEX(Candidates!$AS$2:$AS$301,MATCH(LARGE(Candidates!$BK$2:$BK$301,$A291),Candidates!$BK$2:$BK$301,0))&amp;"")</f>
        <v/>
      </c>
      <c r="D291" s="34">
        <f>IF($A291="","",INDEX(Candidates!$AD$2:$AD$301,MATCH(LARGE(Candidates!$BK$2:$BK$301,$A291),Candidates!$BK$2:$BK$301,0))&amp;"")</f>
        <v/>
      </c>
      <c r="E291" s="32">
        <f>IF($A291="","",INDEX(Candidates!$BJ$2:$BJ$301,MATCH(LARGE(Candidates!$BK$2:$BK$301,$A291),Candidates!$BK$2:$BK$301,0)))</f>
        <v/>
      </c>
      <c r="F291" s="34">
        <f>IF($A291="","",INDEX(Candidates!$BL$2:$BL$301,MATCH(LARGE(Candidates!$BK$2:$BK$301,$A291),Candidates!$BK$2:$BK$301,0))&amp;"")</f>
        <v/>
      </c>
      <c r="G291" s="34">
        <f>IF($A291="","",INDEX(Candidates!$AV$2:$AV$301,MATCH(LARGE(Candidates!$BK$2:$BK$301,$A291),Candidates!$BK$2:$BK$301,0))&amp;"")</f>
        <v/>
      </c>
      <c r="H291" s="34">
        <f>IF($A291="","",INDEX(Candidates!$AW$2:$AW$301,MATCH(LARGE(Candidates!$BK$2:$BK$301,$A291),Candidates!$BK$2:$BK$301,0))&amp;"")</f>
        <v/>
      </c>
    </row>
    <row r="292">
      <c r="A292" s="32">
        <f>IF(ISNUMBER(LARGE(Candidates!$BK$2:$BK$301,288)),288,"")</f>
        <v/>
      </c>
      <c r="B292" s="33">
        <f>IF($A292="","",INDEX(Candidates!$AR$2:$AR$301,MATCH(LARGE(Candidates!$BK$2:$BK$301,$A292),Candidates!$BK$2:$BK$301,0))&amp;"")</f>
        <v/>
      </c>
      <c r="C292" s="34">
        <f>IF($A292="","",INDEX(Candidates!$AS$2:$AS$301,MATCH(LARGE(Candidates!$BK$2:$BK$301,$A292),Candidates!$BK$2:$BK$301,0))&amp;"")</f>
        <v/>
      </c>
      <c r="D292" s="34">
        <f>IF($A292="","",INDEX(Candidates!$AD$2:$AD$301,MATCH(LARGE(Candidates!$BK$2:$BK$301,$A292),Candidates!$BK$2:$BK$301,0))&amp;"")</f>
        <v/>
      </c>
      <c r="E292" s="32">
        <f>IF($A292="","",INDEX(Candidates!$BJ$2:$BJ$301,MATCH(LARGE(Candidates!$BK$2:$BK$301,$A292),Candidates!$BK$2:$BK$301,0)))</f>
        <v/>
      </c>
      <c r="F292" s="34">
        <f>IF($A292="","",INDEX(Candidates!$BL$2:$BL$301,MATCH(LARGE(Candidates!$BK$2:$BK$301,$A292),Candidates!$BK$2:$BK$301,0))&amp;"")</f>
        <v/>
      </c>
      <c r="G292" s="34">
        <f>IF($A292="","",INDEX(Candidates!$AV$2:$AV$301,MATCH(LARGE(Candidates!$BK$2:$BK$301,$A292),Candidates!$BK$2:$BK$301,0))&amp;"")</f>
        <v/>
      </c>
      <c r="H292" s="34">
        <f>IF($A292="","",INDEX(Candidates!$AW$2:$AW$301,MATCH(LARGE(Candidates!$BK$2:$BK$301,$A292),Candidates!$BK$2:$BK$301,0))&amp;"")</f>
        <v/>
      </c>
    </row>
    <row r="293">
      <c r="A293" s="32">
        <f>IF(ISNUMBER(LARGE(Candidates!$BK$2:$BK$301,289)),289,"")</f>
        <v/>
      </c>
      <c r="B293" s="33">
        <f>IF($A293="","",INDEX(Candidates!$AR$2:$AR$301,MATCH(LARGE(Candidates!$BK$2:$BK$301,$A293),Candidates!$BK$2:$BK$301,0))&amp;"")</f>
        <v/>
      </c>
      <c r="C293" s="34">
        <f>IF($A293="","",INDEX(Candidates!$AS$2:$AS$301,MATCH(LARGE(Candidates!$BK$2:$BK$301,$A293),Candidates!$BK$2:$BK$301,0))&amp;"")</f>
        <v/>
      </c>
      <c r="D293" s="34">
        <f>IF($A293="","",INDEX(Candidates!$AD$2:$AD$301,MATCH(LARGE(Candidates!$BK$2:$BK$301,$A293),Candidates!$BK$2:$BK$301,0))&amp;"")</f>
        <v/>
      </c>
      <c r="E293" s="32">
        <f>IF($A293="","",INDEX(Candidates!$BJ$2:$BJ$301,MATCH(LARGE(Candidates!$BK$2:$BK$301,$A293),Candidates!$BK$2:$BK$301,0)))</f>
        <v/>
      </c>
      <c r="F293" s="34">
        <f>IF($A293="","",INDEX(Candidates!$BL$2:$BL$301,MATCH(LARGE(Candidates!$BK$2:$BK$301,$A293),Candidates!$BK$2:$BK$301,0))&amp;"")</f>
        <v/>
      </c>
      <c r="G293" s="34">
        <f>IF($A293="","",INDEX(Candidates!$AV$2:$AV$301,MATCH(LARGE(Candidates!$BK$2:$BK$301,$A293),Candidates!$BK$2:$BK$301,0))&amp;"")</f>
        <v/>
      </c>
      <c r="H293" s="34">
        <f>IF($A293="","",INDEX(Candidates!$AW$2:$AW$301,MATCH(LARGE(Candidates!$BK$2:$BK$301,$A293),Candidates!$BK$2:$BK$301,0))&amp;"")</f>
        <v/>
      </c>
    </row>
    <row r="294">
      <c r="A294" s="32">
        <f>IF(ISNUMBER(LARGE(Candidates!$BK$2:$BK$301,290)),290,"")</f>
        <v/>
      </c>
      <c r="B294" s="33">
        <f>IF($A294="","",INDEX(Candidates!$AR$2:$AR$301,MATCH(LARGE(Candidates!$BK$2:$BK$301,$A294),Candidates!$BK$2:$BK$301,0))&amp;"")</f>
        <v/>
      </c>
      <c r="C294" s="34">
        <f>IF($A294="","",INDEX(Candidates!$AS$2:$AS$301,MATCH(LARGE(Candidates!$BK$2:$BK$301,$A294),Candidates!$BK$2:$BK$301,0))&amp;"")</f>
        <v/>
      </c>
      <c r="D294" s="34">
        <f>IF($A294="","",INDEX(Candidates!$AD$2:$AD$301,MATCH(LARGE(Candidates!$BK$2:$BK$301,$A294),Candidates!$BK$2:$BK$301,0))&amp;"")</f>
        <v/>
      </c>
      <c r="E294" s="32">
        <f>IF($A294="","",INDEX(Candidates!$BJ$2:$BJ$301,MATCH(LARGE(Candidates!$BK$2:$BK$301,$A294),Candidates!$BK$2:$BK$301,0)))</f>
        <v/>
      </c>
      <c r="F294" s="34">
        <f>IF($A294="","",INDEX(Candidates!$BL$2:$BL$301,MATCH(LARGE(Candidates!$BK$2:$BK$301,$A294),Candidates!$BK$2:$BK$301,0))&amp;"")</f>
        <v/>
      </c>
      <c r="G294" s="34">
        <f>IF($A294="","",INDEX(Candidates!$AV$2:$AV$301,MATCH(LARGE(Candidates!$BK$2:$BK$301,$A294),Candidates!$BK$2:$BK$301,0))&amp;"")</f>
        <v/>
      </c>
      <c r="H294" s="34">
        <f>IF($A294="","",INDEX(Candidates!$AW$2:$AW$301,MATCH(LARGE(Candidates!$BK$2:$BK$301,$A294),Candidates!$BK$2:$BK$301,0))&amp;"")</f>
        <v/>
      </c>
    </row>
    <row r="295">
      <c r="A295" s="32">
        <f>IF(ISNUMBER(LARGE(Candidates!$BK$2:$BK$301,291)),291,"")</f>
        <v/>
      </c>
      <c r="B295" s="33">
        <f>IF($A295="","",INDEX(Candidates!$AR$2:$AR$301,MATCH(LARGE(Candidates!$BK$2:$BK$301,$A295),Candidates!$BK$2:$BK$301,0))&amp;"")</f>
        <v/>
      </c>
      <c r="C295" s="34">
        <f>IF($A295="","",INDEX(Candidates!$AS$2:$AS$301,MATCH(LARGE(Candidates!$BK$2:$BK$301,$A295),Candidates!$BK$2:$BK$301,0))&amp;"")</f>
        <v/>
      </c>
      <c r="D295" s="34">
        <f>IF($A295="","",INDEX(Candidates!$AD$2:$AD$301,MATCH(LARGE(Candidates!$BK$2:$BK$301,$A295),Candidates!$BK$2:$BK$301,0))&amp;"")</f>
        <v/>
      </c>
      <c r="E295" s="32">
        <f>IF($A295="","",INDEX(Candidates!$BJ$2:$BJ$301,MATCH(LARGE(Candidates!$BK$2:$BK$301,$A295),Candidates!$BK$2:$BK$301,0)))</f>
        <v/>
      </c>
      <c r="F295" s="34">
        <f>IF($A295="","",INDEX(Candidates!$BL$2:$BL$301,MATCH(LARGE(Candidates!$BK$2:$BK$301,$A295),Candidates!$BK$2:$BK$301,0))&amp;"")</f>
        <v/>
      </c>
      <c r="G295" s="34">
        <f>IF($A295="","",INDEX(Candidates!$AV$2:$AV$301,MATCH(LARGE(Candidates!$BK$2:$BK$301,$A295),Candidates!$BK$2:$BK$301,0))&amp;"")</f>
        <v/>
      </c>
      <c r="H295" s="34">
        <f>IF($A295="","",INDEX(Candidates!$AW$2:$AW$301,MATCH(LARGE(Candidates!$BK$2:$BK$301,$A295),Candidates!$BK$2:$BK$301,0))&amp;"")</f>
        <v/>
      </c>
    </row>
    <row r="296">
      <c r="A296" s="32">
        <f>IF(ISNUMBER(LARGE(Candidates!$BK$2:$BK$301,292)),292,"")</f>
        <v/>
      </c>
      <c r="B296" s="33">
        <f>IF($A296="","",INDEX(Candidates!$AR$2:$AR$301,MATCH(LARGE(Candidates!$BK$2:$BK$301,$A296),Candidates!$BK$2:$BK$301,0))&amp;"")</f>
        <v/>
      </c>
      <c r="C296" s="34">
        <f>IF($A296="","",INDEX(Candidates!$AS$2:$AS$301,MATCH(LARGE(Candidates!$BK$2:$BK$301,$A296),Candidates!$BK$2:$BK$301,0))&amp;"")</f>
        <v/>
      </c>
      <c r="D296" s="34">
        <f>IF($A296="","",INDEX(Candidates!$AD$2:$AD$301,MATCH(LARGE(Candidates!$BK$2:$BK$301,$A296),Candidates!$BK$2:$BK$301,0))&amp;"")</f>
        <v/>
      </c>
      <c r="E296" s="32">
        <f>IF($A296="","",INDEX(Candidates!$BJ$2:$BJ$301,MATCH(LARGE(Candidates!$BK$2:$BK$301,$A296),Candidates!$BK$2:$BK$301,0)))</f>
        <v/>
      </c>
      <c r="F296" s="34">
        <f>IF($A296="","",INDEX(Candidates!$BL$2:$BL$301,MATCH(LARGE(Candidates!$BK$2:$BK$301,$A296),Candidates!$BK$2:$BK$301,0))&amp;"")</f>
        <v/>
      </c>
      <c r="G296" s="34">
        <f>IF($A296="","",INDEX(Candidates!$AV$2:$AV$301,MATCH(LARGE(Candidates!$BK$2:$BK$301,$A296),Candidates!$BK$2:$BK$301,0))&amp;"")</f>
        <v/>
      </c>
      <c r="H296" s="34">
        <f>IF($A296="","",INDEX(Candidates!$AW$2:$AW$301,MATCH(LARGE(Candidates!$BK$2:$BK$301,$A296),Candidates!$BK$2:$BK$301,0))&amp;"")</f>
        <v/>
      </c>
    </row>
    <row r="297">
      <c r="A297" s="32">
        <f>IF(ISNUMBER(LARGE(Candidates!$BK$2:$BK$301,293)),293,"")</f>
        <v/>
      </c>
      <c r="B297" s="33">
        <f>IF($A297="","",INDEX(Candidates!$AR$2:$AR$301,MATCH(LARGE(Candidates!$BK$2:$BK$301,$A297),Candidates!$BK$2:$BK$301,0))&amp;"")</f>
        <v/>
      </c>
      <c r="C297" s="34">
        <f>IF($A297="","",INDEX(Candidates!$AS$2:$AS$301,MATCH(LARGE(Candidates!$BK$2:$BK$301,$A297),Candidates!$BK$2:$BK$301,0))&amp;"")</f>
        <v/>
      </c>
      <c r="D297" s="34">
        <f>IF($A297="","",INDEX(Candidates!$AD$2:$AD$301,MATCH(LARGE(Candidates!$BK$2:$BK$301,$A297),Candidates!$BK$2:$BK$301,0))&amp;"")</f>
        <v/>
      </c>
      <c r="E297" s="32">
        <f>IF($A297="","",INDEX(Candidates!$BJ$2:$BJ$301,MATCH(LARGE(Candidates!$BK$2:$BK$301,$A297),Candidates!$BK$2:$BK$301,0)))</f>
        <v/>
      </c>
      <c r="F297" s="34">
        <f>IF($A297="","",INDEX(Candidates!$BL$2:$BL$301,MATCH(LARGE(Candidates!$BK$2:$BK$301,$A297),Candidates!$BK$2:$BK$301,0))&amp;"")</f>
        <v/>
      </c>
      <c r="G297" s="34">
        <f>IF($A297="","",INDEX(Candidates!$AV$2:$AV$301,MATCH(LARGE(Candidates!$BK$2:$BK$301,$A297),Candidates!$BK$2:$BK$301,0))&amp;"")</f>
        <v/>
      </c>
      <c r="H297" s="34">
        <f>IF($A297="","",INDEX(Candidates!$AW$2:$AW$301,MATCH(LARGE(Candidates!$BK$2:$BK$301,$A297),Candidates!$BK$2:$BK$301,0))&amp;"")</f>
        <v/>
      </c>
    </row>
    <row r="298">
      <c r="A298" s="32">
        <f>IF(ISNUMBER(LARGE(Candidates!$BK$2:$BK$301,294)),294,"")</f>
        <v/>
      </c>
      <c r="B298" s="33">
        <f>IF($A298="","",INDEX(Candidates!$AR$2:$AR$301,MATCH(LARGE(Candidates!$BK$2:$BK$301,$A298),Candidates!$BK$2:$BK$301,0))&amp;"")</f>
        <v/>
      </c>
      <c r="C298" s="34">
        <f>IF($A298="","",INDEX(Candidates!$AS$2:$AS$301,MATCH(LARGE(Candidates!$BK$2:$BK$301,$A298),Candidates!$BK$2:$BK$301,0))&amp;"")</f>
        <v/>
      </c>
      <c r="D298" s="34">
        <f>IF($A298="","",INDEX(Candidates!$AD$2:$AD$301,MATCH(LARGE(Candidates!$BK$2:$BK$301,$A298),Candidates!$BK$2:$BK$301,0))&amp;"")</f>
        <v/>
      </c>
      <c r="E298" s="32">
        <f>IF($A298="","",INDEX(Candidates!$BJ$2:$BJ$301,MATCH(LARGE(Candidates!$BK$2:$BK$301,$A298),Candidates!$BK$2:$BK$301,0)))</f>
        <v/>
      </c>
      <c r="F298" s="34">
        <f>IF($A298="","",INDEX(Candidates!$BL$2:$BL$301,MATCH(LARGE(Candidates!$BK$2:$BK$301,$A298),Candidates!$BK$2:$BK$301,0))&amp;"")</f>
        <v/>
      </c>
      <c r="G298" s="34">
        <f>IF($A298="","",INDEX(Candidates!$AV$2:$AV$301,MATCH(LARGE(Candidates!$BK$2:$BK$301,$A298),Candidates!$BK$2:$BK$301,0))&amp;"")</f>
        <v/>
      </c>
      <c r="H298" s="34">
        <f>IF($A298="","",INDEX(Candidates!$AW$2:$AW$301,MATCH(LARGE(Candidates!$BK$2:$BK$301,$A298),Candidates!$BK$2:$BK$301,0))&amp;"")</f>
        <v/>
      </c>
    </row>
    <row r="299">
      <c r="A299" s="32">
        <f>IF(ISNUMBER(LARGE(Candidates!$BK$2:$BK$301,295)),295,"")</f>
        <v/>
      </c>
      <c r="B299" s="33">
        <f>IF($A299="","",INDEX(Candidates!$AR$2:$AR$301,MATCH(LARGE(Candidates!$BK$2:$BK$301,$A299),Candidates!$BK$2:$BK$301,0))&amp;"")</f>
        <v/>
      </c>
      <c r="C299" s="34">
        <f>IF($A299="","",INDEX(Candidates!$AS$2:$AS$301,MATCH(LARGE(Candidates!$BK$2:$BK$301,$A299),Candidates!$BK$2:$BK$301,0))&amp;"")</f>
        <v/>
      </c>
      <c r="D299" s="34">
        <f>IF($A299="","",INDEX(Candidates!$AD$2:$AD$301,MATCH(LARGE(Candidates!$BK$2:$BK$301,$A299),Candidates!$BK$2:$BK$301,0))&amp;"")</f>
        <v/>
      </c>
      <c r="E299" s="32">
        <f>IF($A299="","",INDEX(Candidates!$BJ$2:$BJ$301,MATCH(LARGE(Candidates!$BK$2:$BK$301,$A299),Candidates!$BK$2:$BK$301,0)))</f>
        <v/>
      </c>
      <c r="F299" s="34">
        <f>IF($A299="","",INDEX(Candidates!$BL$2:$BL$301,MATCH(LARGE(Candidates!$BK$2:$BK$301,$A299),Candidates!$BK$2:$BK$301,0))&amp;"")</f>
        <v/>
      </c>
      <c r="G299" s="34">
        <f>IF($A299="","",INDEX(Candidates!$AV$2:$AV$301,MATCH(LARGE(Candidates!$BK$2:$BK$301,$A299),Candidates!$BK$2:$BK$301,0))&amp;"")</f>
        <v/>
      </c>
      <c r="H299" s="34">
        <f>IF($A299="","",INDEX(Candidates!$AW$2:$AW$301,MATCH(LARGE(Candidates!$BK$2:$BK$301,$A299),Candidates!$BK$2:$BK$301,0))&amp;"")</f>
        <v/>
      </c>
    </row>
    <row r="300">
      <c r="A300" s="32">
        <f>IF(ISNUMBER(LARGE(Candidates!$BK$2:$BK$301,296)),296,"")</f>
        <v/>
      </c>
      <c r="B300" s="33">
        <f>IF($A300="","",INDEX(Candidates!$AR$2:$AR$301,MATCH(LARGE(Candidates!$BK$2:$BK$301,$A300),Candidates!$BK$2:$BK$301,0))&amp;"")</f>
        <v/>
      </c>
      <c r="C300" s="34">
        <f>IF($A300="","",INDEX(Candidates!$AS$2:$AS$301,MATCH(LARGE(Candidates!$BK$2:$BK$301,$A300),Candidates!$BK$2:$BK$301,0))&amp;"")</f>
        <v/>
      </c>
      <c r="D300" s="34">
        <f>IF($A300="","",INDEX(Candidates!$AD$2:$AD$301,MATCH(LARGE(Candidates!$BK$2:$BK$301,$A300),Candidates!$BK$2:$BK$301,0))&amp;"")</f>
        <v/>
      </c>
      <c r="E300" s="32">
        <f>IF($A300="","",INDEX(Candidates!$BJ$2:$BJ$301,MATCH(LARGE(Candidates!$BK$2:$BK$301,$A300),Candidates!$BK$2:$BK$301,0)))</f>
        <v/>
      </c>
      <c r="F300" s="34">
        <f>IF($A300="","",INDEX(Candidates!$BL$2:$BL$301,MATCH(LARGE(Candidates!$BK$2:$BK$301,$A300),Candidates!$BK$2:$BK$301,0))&amp;"")</f>
        <v/>
      </c>
      <c r="G300" s="34">
        <f>IF($A300="","",INDEX(Candidates!$AV$2:$AV$301,MATCH(LARGE(Candidates!$BK$2:$BK$301,$A300),Candidates!$BK$2:$BK$301,0))&amp;"")</f>
        <v/>
      </c>
      <c r="H300" s="34">
        <f>IF($A300="","",INDEX(Candidates!$AW$2:$AW$301,MATCH(LARGE(Candidates!$BK$2:$BK$301,$A300),Candidates!$BK$2:$BK$301,0))&amp;"")</f>
        <v/>
      </c>
    </row>
    <row r="301">
      <c r="A301" s="32">
        <f>IF(ISNUMBER(LARGE(Candidates!$BK$2:$BK$301,297)),297,"")</f>
        <v/>
      </c>
      <c r="B301" s="33">
        <f>IF($A301="","",INDEX(Candidates!$AR$2:$AR$301,MATCH(LARGE(Candidates!$BK$2:$BK$301,$A301),Candidates!$BK$2:$BK$301,0))&amp;"")</f>
        <v/>
      </c>
      <c r="C301" s="34">
        <f>IF($A301="","",INDEX(Candidates!$AS$2:$AS$301,MATCH(LARGE(Candidates!$BK$2:$BK$301,$A301),Candidates!$BK$2:$BK$301,0))&amp;"")</f>
        <v/>
      </c>
      <c r="D301" s="34">
        <f>IF($A301="","",INDEX(Candidates!$AD$2:$AD$301,MATCH(LARGE(Candidates!$BK$2:$BK$301,$A301),Candidates!$BK$2:$BK$301,0))&amp;"")</f>
        <v/>
      </c>
      <c r="E301" s="32">
        <f>IF($A301="","",INDEX(Candidates!$BJ$2:$BJ$301,MATCH(LARGE(Candidates!$BK$2:$BK$301,$A301),Candidates!$BK$2:$BK$301,0)))</f>
        <v/>
      </c>
      <c r="F301" s="34">
        <f>IF($A301="","",INDEX(Candidates!$BL$2:$BL$301,MATCH(LARGE(Candidates!$BK$2:$BK$301,$A301),Candidates!$BK$2:$BK$301,0))&amp;"")</f>
        <v/>
      </c>
      <c r="G301" s="34">
        <f>IF($A301="","",INDEX(Candidates!$AV$2:$AV$301,MATCH(LARGE(Candidates!$BK$2:$BK$301,$A301),Candidates!$BK$2:$BK$301,0))&amp;"")</f>
        <v/>
      </c>
      <c r="H301" s="34">
        <f>IF($A301="","",INDEX(Candidates!$AW$2:$AW$301,MATCH(LARGE(Candidates!$BK$2:$BK$301,$A301),Candidates!$BK$2:$BK$301,0))&amp;"")</f>
        <v/>
      </c>
    </row>
    <row r="302">
      <c r="A302" s="32">
        <f>IF(ISNUMBER(LARGE(Candidates!$BK$2:$BK$301,298)),298,"")</f>
        <v/>
      </c>
      <c r="B302" s="33">
        <f>IF($A302="","",INDEX(Candidates!$AR$2:$AR$301,MATCH(LARGE(Candidates!$BK$2:$BK$301,$A302),Candidates!$BK$2:$BK$301,0))&amp;"")</f>
        <v/>
      </c>
      <c r="C302" s="34">
        <f>IF($A302="","",INDEX(Candidates!$AS$2:$AS$301,MATCH(LARGE(Candidates!$BK$2:$BK$301,$A302),Candidates!$BK$2:$BK$301,0))&amp;"")</f>
        <v/>
      </c>
      <c r="D302" s="34">
        <f>IF($A302="","",INDEX(Candidates!$AD$2:$AD$301,MATCH(LARGE(Candidates!$BK$2:$BK$301,$A302),Candidates!$BK$2:$BK$301,0))&amp;"")</f>
        <v/>
      </c>
      <c r="E302" s="32">
        <f>IF($A302="","",INDEX(Candidates!$BJ$2:$BJ$301,MATCH(LARGE(Candidates!$BK$2:$BK$301,$A302),Candidates!$BK$2:$BK$301,0)))</f>
        <v/>
      </c>
      <c r="F302" s="34">
        <f>IF($A302="","",INDEX(Candidates!$BL$2:$BL$301,MATCH(LARGE(Candidates!$BK$2:$BK$301,$A302),Candidates!$BK$2:$BK$301,0))&amp;"")</f>
        <v/>
      </c>
      <c r="G302" s="34">
        <f>IF($A302="","",INDEX(Candidates!$AV$2:$AV$301,MATCH(LARGE(Candidates!$BK$2:$BK$301,$A302),Candidates!$BK$2:$BK$301,0))&amp;"")</f>
        <v/>
      </c>
      <c r="H302" s="34">
        <f>IF($A302="","",INDEX(Candidates!$AW$2:$AW$301,MATCH(LARGE(Candidates!$BK$2:$BK$301,$A302),Candidates!$BK$2:$BK$301,0))&amp;"")</f>
        <v/>
      </c>
    </row>
    <row r="303">
      <c r="A303" s="32">
        <f>IF(ISNUMBER(LARGE(Candidates!$BK$2:$BK$301,299)),299,"")</f>
        <v/>
      </c>
      <c r="B303" s="33">
        <f>IF($A303="","",INDEX(Candidates!$AR$2:$AR$301,MATCH(LARGE(Candidates!$BK$2:$BK$301,$A303),Candidates!$BK$2:$BK$301,0))&amp;"")</f>
        <v/>
      </c>
      <c r="C303" s="34">
        <f>IF($A303="","",INDEX(Candidates!$AS$2:$AS$301,MATCH(LARGE(Candidates!$BK$2:$BK$301,$A303),Candidates!$BK$2:$BK$301,0))&amp;"")</f>
        <v/>
      </c>
      <c r="D303" s="34">
        <f>IF($A303="","",INDEX(Candidates!$AD$2:$AD$301,MATCH(LARGE(Candidates!$BK$2:$BK$301,$A303),Candidates!$BK$2:$BK$301,0))&amp;"")</f>
        <v/>
      </c>
      <c r="E303" s="32">
        <f>IF($A303="","",INDEX(Candidates!$BJ$2:$BJ$301,MATCH(LARGE(Candidates!$BK$2:$BK$301,$A303),Candidates!$BK$2:$BK$301,0)))</f>
        <v/>
      </c>
      <c r="F303" s="34">
        <f>IF($A303="","",INDEX(Candidates!$BL$2:$BL$301,MATCH(LARGE(Candidates!$BK$2:$BK$301,$A303),Candidates!$BK$2:$BK$301,0))&amp;"")</f>
        <v/>
      </c>
      <c r="G303" s="34">
        <f>IF($A303="","",INDEX(Candidates!$AV$2:$AV$301,MATCH(LARGE(Candidates!$BK$2:$BK$301,$A303),Candidates!$BK$2:$BK$301,0))&amp;"")</f>
        <v/>
      </c>
      <c r="H303" s="34">
        <f>IF($A303="","",INDEX(Candidates!$AW$2:$AW$301,MATCH(LARGE(Candidates!$BK$2:$BK$301,$A303),Candidates!$BK$2:$BK$301,0))&amp;"")</f>
        <v/>
      </c>
    </row>
    <row r="304">
      <c r="A304" s="32">
        <f>IF(ISNUMBER(LARGE(Candidates!$BK$2:$BK$301,300)),300,"")</f>
        <v/>
      </c>
      <c r="B304" s="33">
        <f>IF($A304="","",INDEX(Candidates!$AR$2:$AR$301,MATCH(LARGE(Candidates!$BK$2:$BK$301,$A304),Candidates!$BK$2:$BK$301,0))&amp;"")</f>
        <v/>
      </c>
      <c r="C304" s="34">
        <f>IF($A304="","",INDEX(Candidates!$AS$2:$AS$301,MATCH(LARGE(Candidates!$BK$2:$BK$301,$A304),Candidates!$BK$2:$BK$301,0))&amp;"")</f>
        <v/>
      </c>
      <c r="D304" s="34">
        <f>IF($A304="","",INDEX(Candidates!$AD$2:$AD$301,MATCH(LARGE(Candidates!$BK$2:$BK$301,$A304),Candidates!$BK$2:$BK$301,0))&amp;"")</f>
        <v/>
      </c>
      <c r="E304" s="32">
        <f>IF($A304="","",INDEX(Candidates!$BJ$2:$BJ$301,MATCH(LARGE(Candidates!$BK$2:$BK$301,$A304),Candidates!$BK$2:$BK$301,0)))</f>
        <v/>
      </c>
      <c r="F304" s="34">
        <f>IF($A304="","",INDEX(Candidates!$BL$2:$BL$301,MATCH(LARGE(Candidates!$BK$2:$BK$301,$A304),Candidates!$BK$2:$BK$301,0))&amp;"")</f>
        <v/>
      </c>
      <c r="G304" s="34">
        <f>IF($A304="","",INDEX(Candidates!$AV$2:$AV$301,MATCH(LARGE(Candidates!$BK$2:$BK$301,$A304),Candidates!$BK$2:$BK$301,0))&amp;"")</f>
        <v/>
      </c>
      <c r="H304" s="34">
        <f>IF($A304="","",INDEX(Candidates!$AW$2:$AW$301,MATCH(LARGE(Candidates!$BK$2:$BK$301,$A304),Candidates!$BK$2:$BK$301,0))&amp;"")</f>
        <v/>
      </c>
    </row>
  </sheetData>
  <pageMargins left="0.75" right="0.75" top="1" bottom="1" header="0.5" footer="0.5"/>
  <pageSetup orientation="landscape" fitToHeight="0" fitToWidth="1"/>
</worksheet>
</file>

<file path=xl/worksheets/sheet6.xml><?xml version="1.0" encoding="utf-8"?>
<worksheet xmlns="http://schemas.openxmlformats.org/spreadsheetml/2006/main">
  <sheetPr>
    <tabColor rgb="008F8499"/>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32" customWidth="1" min="1" max="1"/>
    <col width="50" customWidth="1" min="2" max="2"/>
    <col width="3" customWidth="1" min="3" max="3"/>
    <col width="24" customWidth="1" min="4" max="4"/>
  </cols>
  <sheetData>
    <row r="1" ht="48" customHeight="1">
      <c r="A1" s="4" t="inlineStr">
        <is>
          <t>Column names to look for</t>
        </is>
      </c>
      <c r="B1" s="4" t="inlineStr">
        <is>
          <t>Header in your export (edit if you renamed a question)</t>
        </is>
      </c>
      <c r="D1" s="4" t="inlineStr">
        <is>
          <t>Status options</t>
        </is>
      </c>
    </row>
    <row r="2">
      <c r="A2" s="35" t="inlineStr">
        <is>
          <t>Applying or nominating</t>
        </is>
      </c>
      <c r="B2" s="20" t="inlineStr">
        <is>
          <t>Are you applying or nominating someone?</t>
        </is>
      </c>
      <c r="D2" s="20" t="inlineStr">
        <is>
          <t>New</t>
        </is>
      </c>
    </row>
    <row r="3">
      <c r="A3" s="35" t="inlineStr">
        <is>
          <t>Applicant name</t>
        </is>
      </c>
      <c r="B3" s="20" t="inlineStr">
        <is>
          <t>Your full name</t>
        </is>
      </c>
      <c r="D3" s="20" t="inlineStr">
        <is>
          <t>Conversation booked</t>
        </is>
      </c>
    </row>
    <row r="4">
      <c r="A4" s="35" t="inlineStr">
        <is>
          <t>Applicant email</t>
        </is>
      </c>
      <c r="B4" s="20" t="inlineStr">
        <is>
          <t>Your email</t>
        </is>
      </c>
      <c r="D4" s="20" t="inlineStr">
        <is>
          <t>Recommended</t>
        </is>
      </c>
    </row>
    <row r="5">
      <c r="A5" s="35" t="inlineStr">
        <is>
          <t>Nominee name</t>
        </is>
      </c>
      <c r="B5" s="20" t="inlineStr">
        <is>
          <t>Nominee's full name</t>
        </is>
      </c>
      <c r="D5" s="20" t="inlineStr">
        <is>
          <t>Not this year</t>
        </is>
      </c>
    </row>
    <row r="6">
      <c r="A6" s="35" t="inlineStr">
        <is>
          <t>Nominee email</t>
        </is>
      </c>
      <c r="B6" s="20" t="inlineStr">
        <is>
          <t>Nominee's email</t>
        </is>
      </c>
    </row>
    <row r="7">
      <c r="A7" s="35" t="inlineStr">
        <is>
          <t>Skills answer</t>
        </is>
      </c>
      <c r="B7" s="20" t="inlineStr">
        <is>
          <t>Which skills would you bring?</t>
        </is>
      </c>
    </row>
    <row r="8">
      <c r="A8" s="35" t="inlineStr">
        <is>
          <t>Committees</t>
        </is>
      </c>
      <c r="B8" s="20" t="inlineStr">
        <is>
          <t>Which committees interest you?</t>
        </is>
      </c>
    </row>
    <row r="9">
      <c r="A9" s="35" t="inlineStr">
        <is>
          <t>Hours a month</t>
        </is>
      </c>
      <c r="B9" s="20" t="inlineStr">
        <is>
          <t>How many hours a month could you give?</t>
        </is>
      </c>
    </row>
    <row r="12">
      <c r="A12" s="15" t="inlineStr">
        <is>
          <t>The sheet finds columns by these names, so column order does not matter.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2026-10-27T00:01:26Z</dcterms:created>
  <dcterms:modified xmlns:dcterms="http://purl.org/dc/terms/" xmlns:xsi="http://www.w3.org/2001/XMLSchema-instance" xsi:type="dcterms:W3CDTF">2026-10-27T00:01:35Z</dcterms:modified>
</cp:coreProperties>
</file>